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2"/>
  </bookViews>
  <sheets>
    <sheet name="1" sheetId="4" r:id="rId1"/>
    <sheet name="2" sheetId="5" r:id="rId2"/>
    <sheet name="3" sheetId="6" r:id="rId3"/>
    <sheet name="Лист1" sheetId="1" r:id="rId4"/>
    <sheet name="Лист2" sheetId="2" r:id="rId5"/>
    <sheet name="Лист3" sheetId="3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2" hidden="1">'3'!$A$5:$S$355</definedName>
    <definedName name="Excel_BuiltIn_Print_Area_1" localSheetId="1">#REF!</definedName>
    <definedName name="Excel_BuiltIn_Print_Area_1" localSheetId="2">#REF!</definedName>
    <definedName name="Excel_BuiltIn_Print_Area_1">#REF!</definedName>
    <definedName name="Excel_BuiltIn_Print_Area_10" localSheetId="1">'[1]приложение 17'!#REF!</definedName>
    <definedName name="Excel_BuiltIn_Print_Area_10" localSheetId="2">'[2]приложение 10'!#REF!</definedName>
    <definedName name="Excel_BuiltIn_Print_Area_10">'[3]приложение 17'!#REF!</definedName>
    <definedName name="Excel_BuiltIn_Print_Area_7" localSheetId="1">'[1]приложение 13 '!#REF!</definedName>
    <definedName name="Excel_BuiltIn_Print_Area_7" localSheetId="2">'3'!#REF!</definedName>
    <definedName name="Excel_BuiltIn_Print_Area_7">'[3]приложение 13 '!#REF!</definedName>
    <definedName name="Excel_BuiltIn_Print_Area_8" localSheetId="1">'[1]приложение 14'!#REF!</definedName>
    <definedName name="Excel_BuiltIn_Print_Area_8" localSheetId="2">#REF!</definedName>
    <definedName name="Excel_BuiltIn_Print_Area_8">'[3]приложение 14'!#REF!</definedName>
    <definedName name="вед">#REF!</definedName>
    <definedName name="_xlnm.Print_Titles" localSheetId="0">'1'!$4:$5</definedName>
    <definedName name="_xlnm.Print_Titles" localSheetId="1">'2'!$4:$4</definedName>
    <definedName name="_xlnm.Print_Titles" localSheetId="2">'3'!$5:$5</definedName>
    <definedName name="_xlnm.Print_Area" localSheetId="0">'1'!$A$1:$BO$118</definedName>
    <definedName name="_xlnm.Print_Area" localSheetId="2">'3'!$A$2:$H$441</definedName>
  </definedNames>
  <calcPr calcId="162913"/>
</workbook>
</file>

<file path=xl/calcChain.xml><?xml version="1.0" encoding="utf-8"?>
<calcChain xmlns="http://schemas.openxmlformats.org/spreadsheetml/2006/main">
  <c r="P353" i="6" l="1"/>
  <c r="K353" i="6"/>
  <c r="J353" i="6"/>
  <c r="I353" i="6"/>
  <c r="L353" i="6" s="1"/>
  <c r="H353" i="6"/>
  <c r="H352" i="6" s="1"/>
  <c r="Q352" i="6" s="1"/>
  <c r="M352" i="6"/>
  <c r="J352" i="6"/>
  <c r="P352" i="6" s="1"/>
  <c r="I352" i="6"/>
  <c r="G352" i="6"/>
  <c r="G351" i="6" s="1"/>
  <c r="H351" i="6"/>
  <c r="H350" i="6" s="1"/>
  <c r="K348" i="6"/>
  <c r="J348" i="6"/>
  <c r="I348" i="6"/>
  <c r="L348" i="6" s="1"/>
  <c r="H348" i="6"/>
  <c r="Q348" i="6" s="1"/>
  <c r="Q347" i="6"/>
  <c r="L347" i="6"/>
  <c r="I347" i="6"/>
  <c r="K347" i="6" s="1"/>
  <c r="H347" i="6"/>
  <c r="H346" i="6" s="1"/>
  <c r="G347" i="6"/>
  <c r="G346" i="6"/>
  <c r="J344" i="6"/>
  <c r="I344" i="6"/>
  <c r="H344" i="6"/>
  <c r="P344" i="6" s="1"/>
  <c r="J343" i="6"/>
  <c r="I343" i="6"/>
  <c r="G343" i="6"/>
  <c r="M342" i="6"/>
  <c r="J342" i="6"/>
  <c r="I342" i="6"/>
  <c r="G342" i="6"/>
  <c r="R339" i="6"/>
  <c r="N339" i="6"/>
  <c r="J339" i="6"/>
  <c r="J338" i="6" s="1"/>
  <c r="I339" i="6"/>
  <c r="L339" i="6" s="1"/>
  <c r="H339" i="6"/>
  <c r="Q339" i="6" s="1"/>
  <c r="R338" i="6"/>
  <c r="I338" i="6"/>
  <c r="L338" i="6" s="1"/>
  <c r="H338" i="6"/>
  <c r="Q338" i="6" s="1"/>
  <c r="G338" i="6"/>
  <c r="K337" i="6"/>
  <c r="I337" i="6"/>
  <c r="H337" i="6"/>
  <c r="G337" i="6"/>
  <c r="G336" i="6" s="1"/>
  <c r="J331" i="6"/>
  <c r="I331" i="6"/>
  <c r="K331" i="6" s="1"/>
  <c r="H331" i="6"/>
  <c r="L331" i="6" s="1"/>
  <c r="J330" i="6"/>
  <c r="I330" i="6"/>
  <c r="G330" i="6"/>
  <c r="J329" i="6"/>
  <c r="J328" i="6" s="1"/>
  <c r="I329" i="6"/>
  <c r="G329" i="6"/>
  <c r="G328" i="6"/>
  <c r="G327" i="6" s="1"/>
  <c r="G326" i="6" s="1"/>
  <c r="G325" i="6" s="1"/>
  <c r="Q323" i="6"/>
  <c r="L323" i="6"/>
  <c r="J323" i="6"/>
  <c r="P323" i="6" s="1"/>
  <c r="I323" i="6"/>
  <c r="K323" i="6" s="1"/>
  <c r="J322" i="6"/>
  <c r="P322" i="6" s="1"/>
  <c r="I322" i="6"/>
  <c r="H322" i="6"/>
  <c r="G322" i="6"/>
  <c r="J321" i="6"/>
  <c r="H321" i="6"/>
  <c r="Q321" i="6" s="1"/>
  <c r="G321" i="6"/>
  <c r="J319" i="6"/>
  <c r="N319" i="6" s="1"/>
  <c r="I319" i="6"/>
  <c r="H319" i="6"/>
  <c r="Q319" i="6" s="1"/>
  <c r="M318" i="6"/>
  <c r="J318" i="6"/>
  <c r="I318" i="6"/>
  <c r="H318" i="6"/>
  <c r="Q318" i="6" s="1"/>
  <c r="G318" i="6"/>
  <c r="J317" i="6"/>
  <c r="G317" i="6"/>
  <c r="M315" i="6"/>
  <c r="J315" i="6"/>
  <c r="I315" i="6"/>
  <c r="H315" i="6"/>
  <c r="R315" i="6" s="1"/>
  <c r="J314" i="6"/>
  <c r="I314" i="6"/>
  <c r="H314" i="6"/>
  <c r="K314" i="6" s="1"/>
  <c r="G314" i="6"/>
  <c r="O308" i="6"/>
  <c r="J308" i="6"/>
  <c r="N308" i="6" s="1"/>
  <c r="I308" i="6"/>
  <c r="H308" i="6"/>
  <c r="K308" i="6" s="1"/>
  <c r="O307" i="6"/>
  <c r="J307" i="6"/>
  <c r="I307" i="6"/>
  <c r="I306" i="6" s="1"/>
  <c r="G307" i="6"/>
  <c r="G306" i="6" s="1"/>
  <c r="R304" i="6"/>
  <c r="Q304" i="6"/>
  <c r="N304" i="6"/>
  <c r="M304" i="6"/>
  <c r="J304" i="6"/>
  <c r="I304" i="6"/>
  <c r="H304" i="6"/>
  <c r="J303" i="6"/>
  <c r="I303" i="6"/>
  <c r="H303" i="6"/>
  <c r="H302" i="6" s="1"/>
  <c r="R302" i="6" s="1"/>
  <c r="G303" i="6"/>
  <c r="G302" i="6"/>
  <c r="P300" i="6"/>
  <c r="O300" i="6"/>
  <c r="J300" i="6"/>
  <c r="I300" i="6"/>
  <c r="I299" i="6" s="1"/>
  <c r="H300" i="6"/>
  <c r="J299" i="6"/>
  <c r="H299" i="6"/>
  <c r="G299" i="6"/>
  <c r="H298" i="6"/>
  <c r="Q295" i="6"/>
  <c r="P295" i="6"/>
  <c r="L295" i="6"/>
  <c r="J295" i="6"/>
  <c r="I295" i="6"/>
  <c r="K295" i="6" s="1"/>
  <c r="H295" i="6"/>
  <c r="R295" i="6" s="1"/>
  <c r="R294" i="6"/>
  <c r="H294" i="6"/>
  <c r="G294" i="6"/>
  <c r="G293" i="6"/>
  <c r="Q287" i="6"/>
  <c r="P287" i="6"/>
  <c r="J287" i="6"/>
  <c r="I287" i="6"/>
  <c r="I286" i="6" s="1"/>
  <c r="I285" i="6" s="1"/>
  <c r="L285" i="6" s="1"/>
  <c r="H287" i="6"/>
  <c r="H286" i="6" s="1"/>
  <c r="Q286" i="6" s="1"/>
  <c r="J286" i="6"/>
  <c r="G286" i="6"/>
  <c r="H285" i="6"/>
  <c r="Q285" i="6" s="1"/>
  <c r="G285" i="6"/>
  <c r="H284" i="6"/>
  <c r="G284" i="6"/>
  <c r="Q284" i="6" s="1"/>
  <c r="J279" i="6"/>
  <c r="N279" i="6" s="1"/>
  <c r="I279" i="6"/>
  <c r="H279" i="6"/>
  <c r="L279" i="6" s="1"/>
  <c r="J278" i="6"/>
  <c r="I278" i="6"/>
  <c r="G278" i="6"/>
  <c r="G277" i="6"/>
  <c r="G276" i="6"/>
  <c r="M275" i="6"/>
  <c r="M274" i="6"/>
  <c r="M273" i="6"/>
  <c r="M272" i="6"/>
  <c r="M271" i="6"/>
  <c r="M270" i="6"/>
  <c r="M269" i="6"/>
  <c r="M268" i="6"/>
  <c r="Q267" i="6"/>
  <c r="P267" i="6"/>
  <c r="O267" i="6"/>
  <c r="L267" i="6"/>
  <c r="J267" i="6"/>
  <c r="N267" i="6" s="1"/>
  <c r="I267" i="6"/>
  <c r="M267" i="6" s="1"/>
  <c r="H267" i="6"/>
  <c r="R267" i="6" s="1"/>
  <c r="J266" i="6"/>
  <c r="I266" i="6"/>
  <c r="H266" i="6"/>
  <c r="P266" i="6" s="1"/>
  <c r="G266" i="6"/>
  <c r="O266" i="6" s="1"/>
  <c r="J265" i="6"/>
  <c r="I265" i="6"/>
  <c r="M262" i="6"/>
  <c r="J262" i="6"/>
  <c r="I262" i="6"/>
  <c r="H262" i="6"/>
  <c r="L262" i="6" s="1"/>
  <c r="J261" i="6"/>
  <c r="G261" i="6"/>
  <c r="G260" i="6" s="1"/>
  <c r="R256" i="6"/>
  <c r="Q256" i="6"/>
  <c r="P256" i="6"/>
  <c r="O256" i="6"/>
  <c r="N256" i="6"/>
  <c r="M256" i="6"/>
  <c r="L256" i="6"/>
  <c r="H256" i="6"/>
  <c r="K256" i="6" s="1"/>
  <c r="J255" i="6"/>
  <c r="I255" i="6"/>
  <c r="N255" i="6" s="1"/>
  <c r="H255" i="6"/>
  <c r="G255" i="6"/>
  <c r="G254" i="6" s="1"/>
  <c r="G253" i="6" s="1"/>
  <c r="M251" i="6"/>
  <c r="J251" i="6"/>
  <c r="I251" i="6"/>
  <c r="H251" i="6"/>
  <c r="J250" i="6"/>
  <c r="G250" i="6"/>
  <c r="J249" i="6"/>
  <c r="G249" i="6"/>
  <c r="Q245" i="6"/>
  <c r="P245" i="6"/>
  <c r="J245" i="6"/>
  <c r="I245" i="6"/>
  <c r="M245" i="6" s="1"/>
  <c r="H245" i="6"/>
  <c r="H244" i="6" s="1"/>
  <c r="J244" i="6"/>
  <c r="J243" i="6" s="1"/>
  <c r="G244" i="6"/>
  <c r="G243" i="6" s="1"/>
  <c r="Q243" i="6"/>
  <c r="H243" i="6"/>
  <c r="J241" i="6"/>
  <c r="I241" i="6"/>
  <c r="H241" i="6"/>
  <c r="Q241" i="6" s="1"/>
  <c r="J240" i="6"/>
  <c r="M240" i="6" s="1"/>
  <c r="I240" i="6"/>
  <c r="G240" i="6"/>
  <c r="J239" i="6"/>
  <c r="M239" i="6" s="1"/>
  <c r="I239" i="6"/>
  <c r="G239" i="6"/>
  <c r="M237" i="6"/>
  <c r="J237" i="6"/>
  <c r="N237" i="6" s="1"/>
  <c r="I237" i="6"/>
  <c r="H237" i="6"/>
  <c r="H236" i="6" s="1"/>
  <c r="P236" i="6" s="1"/>
  <c r="J236" i="6"/>
  <c r="I236" i="6"/>
  <c r="G236" i="6"/>
  <c r="J235" i="6"/>
  <c r="I235" i="6"/>
  <c r="H235" i="6"/>
  <c r="Q235" i="6" s="1"/>
  <c r="G235" i="6"/>
  <c r="R233" i="6"/>
  <c r="Q233" i="6"/>
  <c r="M233" i="6"/>
  <c r="J233" i="6"/>
  <c r="P233" i="6" s="1"/>
  <c r="I233" i="6"/>
  <c r="N233" i="6" s="1"/>
  <c r="H233" i="6"/>
  <c r="O232" i="6"/>
  <c r="J232" i="6"/>
  <c r="H232" i="6"/>
  <c r="G232" i="6"/>
  <c r="R232" i="6" s="1"/>
  <c r="J231" i="6"/>
  <c r="H231" i="6"/>
  <c r="G231" i="6"/>
  <c r="P229" i="6"/>
  <c r="N229" i="6"/>
  <c r="J229" i="6"/>
  <c r="I229" i="6"/>
  <c r="H229" i="6"/>
  <c r="Q229" i="6" s="1"/>
  <c r="I228" i="6"/>
  <c r="H228" i="6"/>
  <c r="Q228" i="6" s="1"/>
  <c r="G228" i="6"/>
  <c r="P227" i="6"/>
  <c r="J227" i="6"/>
  <c r="H227" i="6"/>
  <c r="G227" i="6"/>
  <c r="G226" i="6" s="1"/>
  <c r="G225" i="6" s="1"/>
  <c r="G224" i="6" s="1"/>
  <c r="J221" i="6"/>
  <c r="I221" i="6"/>
  <c r="K221" i="6" s="1"/>
  <c r="H221" i="6"/>
  <c r="Q221" i="6" s="1"/>
  <c r="H220" i="6"/>
  <c r="G220" i="6"/>
  <c r="G219" i="6" s="1"/>
  <c r="Q217" i="6"/>
  <c r="K217" i="6"/>
  <c r="J217" i="6"/>
  <c r="I217" i="6"/>
  <c r="H217" i="6"/>
  <c r="L217" i="6" s="1"/>
  <c r="L216" i="6"/>
  <c r="I216" i="6"/>
  <c r="H216" i="6"/>
  <c r="G216" i="6"/>
  <c r="Q216" i="6" s="1"/>
  <c r="L215" i="6"/>
  <c r="I215" i="6"/>
  <c r="K215" i="6" s="1"/>
  <c r="H215" i="6"/>
  <c r="G215" i="6"/>
  <c r="N213" i="6"/>
  <c r="J213" i="6"/>
  <c r="I213" i="6"/>
  <c r="H213" i="6"/>
  <c r="J212" i="6"/>
  <c r="I212" i="6"/>
  <c r="G212" i="6"/>
  <c r="G211" i="6"/>
  <c r="Q205" i="6"/>
  <c r="P205" i="6"/>
  <c r="J205" i="6"/>
  <c r="I205" i="6"/>
  <c r="I204" i="6" s="1"/>
  <c r="H205" i="6"/>
  <c r="R205" i="6" s="1"/>
  <c r="J204" i="6"/>
  <c r="H204" i="6"/>
  <c r="G204" i="6"/>
  <c r="G203" i="6" s="1"/>
  <c r="G202" i="6" s="1"/>
  <c r="G201" i="6" s="1"/>
  <c r="G200" i="6" s="1"/>
  <c r="J203" i="6"/>
  <c r="J202" i="6"/>
  <c r="R196" i="6"/>
  <c r="Q196" i="6"/>
  <c r="N196" i="6"/>
  <c r="M196" i="6"/>
  <c r="J196" i="6"/>
  <c r="I196" i="6"/>
  <c r="H196" i="6"/>
  <c r="J195" i="6"/>
  <c r="I195" i="6"/>
  <c r="H195" i="6"/>
  <c r="Q195" i="6" s="1"/>
  <c r="G195" i="6"/>
  <c r="G194" i="6"/>
  <c r="H193" i="6"/>
  <c r="G193" i="6"/>
  <c r="G192" i="6" s="1"/>
  <c r="G191" i="6" s="1"/>
  <c r="H192" i="6"/>
  <c r="R188" i="6"/>
  <c r="K188" i="6"/>
  <c r="J188" i="6"/>
  <c r="I188" i="6"/>
  <c r="L188" i="6" s="1"/>
  <c r="H188" i="6"/>
  <c r="Q188" i="6" s="1"/>
  <c r="K187" i="6"/>
  <c r="J187" i="6"/>
  <c r="I187" i="6"/>
  <c r="L187" i="6" s="1"/>
  <c r="H187" i="6"/>
  <c r="G187" i="6"/>
  <c r="Q187" i="6" s="1"/>
  <c r="I186" i="6"/>
  <c r="H186" i="6"/>
  <c r="L186" i="6" s="1"/>
  <c r="J184" i="6"/>
  <c r="I184" i="6"/>
  <c r="L184" i="6" s="1"/>
  <c r="H184" i="6"/>
  <c r="Q184" i="6" s="1"/>
  <c r="H183" i="6"/>
  <c r="G183" i="6"/>
  <c r="H182" i="6"/>
  <c r="G182" i="6"/>
  <c r="J178" i="6"/>
  <c r="O178" i="6" s="1"/>
  <c r="I178" i="6"/>
  <c r="H178" i="6"/>
  <c r="K178" i="6" s="1"/>
  <c r="J177" i="6"/>
  <c r="I177" i="6"/>
  <c r="H177" i="6"/>
  <c r="K177" i="6" s="1"/>
  <c r="G177" i="6"/>
  <c r="N171" i="6"/>
  <c r="M171" i="6"/>
  <c r="J171" i="6"/>
  <c r="I171" i="6"/>
  <c r="H171" i="6"/>
  <c r="Q171" i="6" s="1"/>
  <c r="G170" i="6"/>
  <c r="G169" i="6"/>
  <c r="G168" i="6" s="1"/>
  <c r="G167" i="6" s="1"/>
  <c r="G166" i="6"/>
  <c r="J164" i="6"/>
  <c r="I164" i="6"/>
  <c r="H164" i="6"/>
  <c r="Q164" i="6" s="1"/>
  <c r="I163" i="6"/>
  <c r="G163" i="6"/>
  <c r="G162" i="6"/>
  <c r="G161" i="6"/>
  <c r="J159" i="6"/>
  <c r="I159" i="6"/>
  <c r="H159" i="6"/>
  <c r="Q159" i="6" s="1"/>
  <c r="H158" i="6"/>
  <c r="H157" i="6" s="1"/>
  <c r="G158" i="6"/>
  <c r="G157" i="6" s="1"/>
  <c r="G156" i="6" s="1"/>
  <c r="R155" i="6"/>
  <c r="Q155" i="6"/>
  <c r="O155" i="6"/>
  <c r="M155" i="6"/>
  <c r="K155" i="6"/>
  <c r="O153" i="6"/>
  <c r="J153" i="6"/>
  <c r="I153" i="6"/>
  <c r="M153" i="6" s="1"/>
  <c r="H153" i="6"/>
  <c r="J152" i="6"/>
  <c r="G152" i="6"/>
  <c r="O152" i="6" s="1"/>
  <c r="J151" i="6"/>
  <c r="J150" i="6"/>
  <c r="R145" i="6"/>
  <c r="Q145" i="6"/>
  <c r="O145" i="6"/>
  <c r="J145" i="6"/>
  <c r="I145" i="6"/>
  <c r="L145" i="6" s="1"/>
  <c r="H145" i="6"/>
  <c r="O144" i="6"/>
  <c r="J144" i="6"/>
  <c r="I144" i="6"/>
  <c r="L144" i="6" s="1"/>
  <c r="H144" i="6"/>
  <c r="R144" i="6" s="1"/>
  <c r="G144" i="6"/>
  <c r="G143" i="6"/>
  <c r="K141" i="6"/>
  <c r="J141" i="6"/>
  <c r="I141" i="6"/>
  <c r="L141" i="6" s="1"/>
  <c r="H141" i="6"/>
  <c r="Q141" i="6" s="1"/>
  <c r="I140" i="6"/>
  <c r="H140" i="6"/>
  <c r="Q140" i="6" s="1"/>
  <c r="G140" i="6"/>
  <c r="N138" i="6"/>
  <c r="J138" i="6"/>
  <c r="I138" i="6"/>
  <c r="H138" i="6"/>
  <c r="R138" i="6" s="1"/>
  <c r="H137" i="6"/>
  <c r="H136" i="6" s="1"/>
  <c r="G137" i="6"/>
  <c r="G136" i="6"/>
  <c r="G135" i="6" s="1"/>
  <c r="G134" i="6" s="1"/>
  <c r="G133" i="6" s="1"/>
  <c r="R129" i="6"/>
  <c r="Q129" i="6"/>
  <c r="O129" i="6"/>
  <c r="N129" i="6"/>
  <c r="J129" i="6"/>
  <c r="I129" i="6"/>
  <c r="L129" i="6" s="1"/>
  <c r="H129" i="6"/>
  <c r="J128" i="6"/>
  <c r="I128" i="6"/>
  <c r="L128" i="6" s="1"/>
  <c r="H128" i="6"/>
  <c r="G128" i="6"/>
  <c r="H127" i="6"/>
  <c r="G127" i="6"/>
  <c r="J123" i="6"/>
  <c r="I123" i="6"/>
  <c r="L123" i="6" s="1"/>
  <c r="H123" i="6"/>
  <c r="Q123" i="6" s="1"/>
  <c r="H122" i="6"/>
  <c r="H121" i="6" s="1"/>
  <c r="G122" i="6"/>
  <c r="G121" i="6"/>
  <c r="H120" i="6"/>
  <c r="R117" i="6"/>
  <c r="Q117" i="6"/>
  <c r="O117" i="6"/>
  <c r="M117" i="6"/>
  <c r="K117" i="6"/>
  <c r="R116" i="6"/>
  <c r="Q116" i="6"/>
  <c r="P116" i="6"/>
  <c r="O116" i="6"/>
  <c r="M116" i="6"/>
  <c r="L116" i="6"/>
  <c r="K116" i="6"/>
  <c r="H116" i="6"/>
  <c r="O113" i="6"/>
  <c r="K113" i="6"/>
  <c r="J113" i="6"/>
  <c r="I113" i="6"/>
  <c r="L113" i="6" s="1"/>
  <c r="H113" i="6"/>
  <c r="G113" i="6"/>
  <c r="H112" i="6"/>
  <c r="G112" i="6"/>
  <c r="Q109" i="6"/>
  <c r="L109" i="6"/>
  <c r="J109" i="6"/>
  <c r="O109" i="6" s="1"/>
  <c r="I109" i="6"/>
  <c r="M109" i="6" s="1"/>
  <c r="H109" i="6"/>
  <c r="Q108" i="6"/>
  <c r="J108" i="6"/>
  <c r="J107" i="6" s="1"/>
  <c r="H108" i="6"/>
  <c r="G108" i="6"/>
  <c r="K101" i="6"/>
  <c r="J101" i="6"/>
  <c r="P101" i="6" s="1"/>
  <c r="I101" i="6"/>
  <c r="H101" i="6"/>
  <c r="Q101" i="6" s="1"/>
  <c r="I100" i="6"/>
  <c r="H100" i="6"/>
  <c r="G100" i="6"/>
  <c r="G99" i="6"/>
  <c r="G98" i="6"/>
  <c r="J96" i="6"/>
  <c r="I96" i="6"/>
  <c r="H96" i="6"/>
  <c r="Q96" i="6" s="1"/>
  <c r="Q95" i="6"/>
  <c r="J95" i="6"/>
  <c r="P95" i="6" s="1"/>
  <c r="H95" i="6"/>
  <c r="G95" i="6"/>
  <c r="O91" i="6"/>
  <c r="J91" i="6"/>
  <c r="I91" i="6"/>
  <c r="M91" i="6" s="1"/>
  <c r="H91" i="6"/>
  <c r="P91" i="6" s="1"/>
  <c r="O90" i="6"/>
  <c r="J90" i="6"/>
  <c r="N90" i="6" s="1"/>
  <c r="I90" i="6"/>
  <c r="M90" i="6" s="1"/>
  <c r="G90" i="6"/>
  <c r="G89" i="6" s="1"/>
  <c r="G88" i="6" s="1"/>
  <c r="G87" i="6"/>
  <c r="G86" i="6" s="1"/>
  <c r="G85" i="6" s="1"/>
  <c r="Q84" i="6"/>
  <c r="P84" i="6"/>
  <c r="N84" i="6"/>
  <c r="M84" i="6"/>
  <c r="L84" i="6"/>
  <c r="K84" i="6"/>
  <c r="H84" i="6"/>
  <c r="J83" i="6"/>
  <c r="I83" i="6"/>
  <c r="I82" i="6" s="1"/>
  <c r="H83" i="6"/>
  <c r="P83" i="6" s="1"/>
  <c r="G83" i="6"/>
  <c r="Q83" i="6" s="1"/>
  <c r="N82" i="6"/>
  <c r="J82" i="6"/>
  <c r="H82" i="6"/>
  <c r="Q82" i="6" s="1"/>
  <c r="G82" i="6"/>
  <c r="O80" i="6"/>
  <c r="J80" i="6"/>
  <c r="I80" i="6"/>
  <c r="M80" i="6" s="1"/>
  <c r="H80" i="6"/>
  <c r="R80" i="6" s="1"/>
  <c r="O79" i="6"/>
  <c r="J79" i="6"/>
  <c r="I79" i="6"/>
  <c r="K79" i="6" s="1"/>
  <c r="H79" i="6"/>
  <c r="Q79" i="6" s="1"/>
  <c r="G79" i="6"/>
  <c r="M78" i="6"/>
  <c r="M77" i="6"/>
  <c r="M76" i="6"/>
  <c r="M75" i="6"/>
  <c r="M74" i="6"/>
  <c r="M73" i="6"/>
  <c r="M72" i="6"/>
  <c r="M71" i="6"/>
  <c r="M70" i="6"/>
  <c r="R69" i="6"/>
  <c r="Q69" i="6"/>
  <c r="J69" i="6"/>
  <c r="P69" i="6" s="1"/>
  <c r="I69" i="6"/>
  <c r="H69" i="6"/>
  <c r="H68" i="6"/>
  <c r="G68" i="6"/>
  <c r="G67" i="6" s="1"/>
  <c r="J64" i="6"/>
  <c r="I64" i="6"/>
  <c r="L64" i="6" s="1"/>
  <c r="H64" i="6"/>
  <c r="Q64" i="6" s="1"/>
  <c r="H63" i="6"/>
  <c r="Q63" i="6" s="1"/>
  <c r="G63" i="6"/>
  <c r="P59" i="6"/>
  <c r="J59" i="6"/>
  <c r="I59" i="6"/>
  <c r="H59" i="6"/>
  <c r="J58" i="6"/>
  <c r="I58" i="6"/>
  <c r="M58" i="6" s="1"/>
  <c r="H58" i="6"/>
  <c r="G58" i="6"/>
  <c r="G57" i="6" s="1"/>
  <c r="G56" i="6" s="1"/>
  <c r="G55" i="6" s="1"/>
  <c r="G47" i="6" s="1"/>
  <c r="K52" i="6"/>
  <c r="J52" i="6"/>
  <c r="I52" i="6"/>
  <c r="H52" i="6"/>
  <c r="Q52" i="6" s="1"/>
  <c r="I51" i="6"/>
  <c r="K51" i="6" s="1"/>
  <c r="H51" i="6"/>
  <c r="G51" i="6"/>
  <c r="G50" i="6" s="1"/>
  <c r="G49" i="6" s="1"/>
  <c r="G48" i="6" s="1"/>
  <c r="O46" i="6"/>
  <c r="M46" i="6"/>
  <c r="H46" i="6"/>
  <c r="O45" i="6"/>
  <c r="J45" i="6"/>
  <c r="I45" i="6"/>
  <c r="M45" i="6" s="1"/>
  <c r="G45" i="6"/>
  <c r="O44" i="6"/>
  <c r="J44" i="6"/>
  <c r="I44" i="6"/>
  <c r="G44" i="6"/>
  <c r="G43" i="6" s="1"/>
  <c r="G42" i="6" s="1"/>
  <c r="G41" i="6" s="1"/>
  <c r="M40" i="6"/>
  <c r="M39" i="6"/>
  <c r="M38" i="6"/>
  <c r="M37" i="6"/>
  <c r="M36" i="6"/>
  <c r="M35" i="6"/>
  <c r="M34" i="6"/>
  <c r="M33" i="6"/>
  <c r="P32" i="6"/>
  <c r="J32" i="6"/>
  <c r="I32" i="6"/>
  <c r="M32" i="6" s="1"/>
  <c r="H32" i="6"/>
  <c r="R32" i="6" s="1"/>
  <c r="J31" i="6"/>
  <c r="G31" i="6"/>
  <c r="G30" i="6"/>
  <c r="J29" i="6"/>
  <c r="G29" i="6"/>
  <c r="G28" i="6"/>
  <c r="G27" i="6" s="1"/>
  <c r="M26" i="6"/>
  <c r="M25" i="6"/>
  <c r="M24" i="6"/>
  <c r="M23" i="6"/>
  <c r="M22" i="6"/>
  <c r="M21" i="6"/>
  <c r="J20" i="6"/>
  <c r="I20" i="6"/>
  <c r="L20" i="6" s="1"/>
  <c r="H20" i="6"/>
  <c r="J19" i="6"/>
  <c r="I19" i="6"/>
  <c r="I18" i="6" s="1"/>
  <c r="H19" i="6"/>
  <c r="G19" i="6"/>
  <c r="G18" i="6"/>
  <c r="M17" i="6"/>
  <c r="M16" i="6"/>
  <c r="M15" i="6"/>
  <c r="M14" i="6"/>
  <c r="M13" i="6"/>
  <c r="J12" i="6"/>
  <c r="N12" i="6" s="1"/>
  <c r="I12" i="6"/>
  <c r="H12" i="6"/>
  <c r="Q12" i="6" s="1"/>
  <c r="J11" i="6"/>
  <c r="N11" i="6" s="1"/>
  <c r="I11" i="6"/>
  <c r="H11" i="6"/>
  <c r="K11" i="6" s="1"/>
  <c r="G11" i="6"/>
  <c r="H10" i="6"/>
  <c r="AQ55" i="5"/>
  <c r="AP55" i="5"/>
  <c r="AD55" i="5"/>
  <c r="AC55" i="5"/>
  <c r="AB55" i="5"/>
  <c r="AQ54" i="5"/>
  <c r="AP54" i="5"/>
  <c r="AD54" i="5"/>
  <c r="AC54" i="5"/>
  <c r="AB54" i="5"/>
  <c r="AQ53" i="5"/>
  <c r="AP53" i="5"/>
  <c r="AD53" i="5"/>
  <c r="AC53" i="5"/>
  <c r="AB53" i="5"/>
  <c r="AQ52" i="5"/>
  <c r="AP52" i="5"/>
  <c r="AD52" i="5"/>
  <c r="AC52" i="5"/>
  <c r="AB52" i="5"/>
  <c r="AQ51" i="5"/>
  <c r="AP51" i="5"/>
  <c r="AD51" i="5"/>
  <c r="AC51" i="5"/>
  <c r="AB51" i="5"/>
  <c r="AQ50" i="5"/>
  <c r="AP50" i="5"/>
  <c r="AD50" i="5"/>
  <c r="AC50" i="5"/>
  <c r="AB50" i="5"/>
  <c r="AQ49" i="5"/>
  <c r="AP49" i="5"/>
  <c r="AD49" i="5"/>
  <c r="AC49" i="5"/>
  <c r="AB49" i="5"/>
  <c r="AQ47" i="5"/>
  <c r="AP47" i="5"/>
  <c r="AL47" i="5"/>
  <c r="AK47" i="5"/>
  <c r="AD47" i="5"/>
  <c r="AC47" i="5"/>
  <c r="AG47" i="5" s="1"/>
  <c r="AB47" i="5"/>
  <c r="AE47" i="5" s="1"/>
  <c r="AQ46" i="5"/>
  <c r="AP46" i="5"/>
  <c r="AL46" i="5"/>
  <c r="AK46" i="5"/>
  <c r="AC46" i="5"/>
  <c r="AH46" i="5" s="1"/>
  <c r="AB46" i="5"/>
  <c r="AE46" i="5" s="1"/>
  <c r="G46" i="5"/>
  <c r="F46" i="5"/>
  <c r="E46" i="5"/>
  <c r="D46" i="5"/>
  <c r="AQ45" i="5"/>
  <c r="AP45" i="5"/>
  <c r="AL45" i="5"/>
  <c r="AK45" i="5"/>
  <c r="AC45" i="5"/>
  <c r="AB45" i="5"/>
  <c r="AF45" i="5" s="1"/>
  <c r="D45" i="5"/>
  <c r="AQ44" i="5"/>
  <c r="AP44" i="5"/>
  <c r="AL44" i="5"/>
  <c r="AK44" i="5"/>
  <c r="AJ44" i="5"/>
  <c r="AI44" i="5"/>
  <c r="AH44" i="5"/>
  <c r="AG44" i="5"/>
  <c r="AF44" i="5"/>
  <c r="AE44" i="5"/>
  <c r="AD44" i="5"/>
  <c r="F44" i="5"/>
  <c r="F43" i="5" s="1"/>
  <c r="E44" i="5"/>
  <c r="E43" i="5" s="1"/>
  <c r="D44" i="5"/>
  <c r="AT43" i="5"/>
  <c r="AS43" i="5"/>
  <c r="AO43" i="5"/>
  <c r="AQ43" i="5" s="1"/>
  <c r="AN43" i="5"/>
  <c r="AC43" i="5"/>
  <c r="AG43" i="5" s="1"/>
  <c r="AB43" i="5"/>
  <c r="AA43" i="5"/>
  <c r="Z43" i="5"/>
  <c r="Y43" i="5"/>
  <c r="X43" i="5"/>
  <c r="W43" i="5"/>
  <c r="V43" i="5"/>
  <c r="U43" i="5"/>
  <c r="AK43" i="5" s="1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D43" i="5"/>
  <c r="AQ42" i="5"/>
  <c r="AP42" i="5"/>
  <c r="AL42" i="5"/>
  <c r="AK42" i="5"/>
  <c r="AC42" i="5"/>
  <c r="AG42" i="5" s="1"/>
  <c r="AB42" i="5"/>
  <c r="AQ41" i="5"/>
  <c r="AP41" i="5"/>
  <c r="AL41" i="5"/>
  <c r="AK41" i="5"/>
  <c r="AJ41" i="5"/>
  <c r="AI41" i="5"/>
  <c r="AH41" i="5"/>
  <c r="AG41" i="5"/>
  <c r="AF41" i="5"/>
  <c r="AE41" i="5"/>
  <c r="AD41" i="5"/>
  <c r="AT40" i="5"/>
  <c r="AS40" i="5"/>
  <c r="AO40" i="5"/>
  <c r="AQ40" i="5" s="1"/>
  <c r="AN40" i="5"/>
  <c r="AC40" i="5"/>
  <c r="AB40" i="5"/>
  <c r="AF40" i="5" s="1"/>
  <c r="AA40" i="5"/>
  <c r="AI40" i="5" s="1"/>
  <c r="Z40" i="5"/>
  <c r="Y40" i="5"/>
  <c r="X40" i="5"/>
  <c r="W40" i="5"/>
  <c r="V40" i="5"/>
  <c r="U40" i="5"/>
  <c r="T40" i="5"/>
  <c r="AJ40" i="5" s="1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AQ39" i="5"/>
  <c r="AP39" i="5"/>
  <c r="AL39" i="5"/>
  <c r="AK39" i="5"/>
  <c r="AE39" i="5"/>
  <c r="AD39" i="5"/>
  <c r="AC39" i="5"/>
  <c r="AG39" i="5" s="1"/>
  <c r="AB39" i="5"/>
  <c r="AQ38" i="5"/>
  <c r="AP38" i="5"/>
  <c r="AL38" i="5"/>
  <c r="AK38" i="5"/>
  <c r="AC38" i="5"/>
  <c r="AH38" i="5" s="1"/>
  <c r="AB38" i="5"/>
  <c r="AE38" i="5" s="1"/>
  <c r="P38" i="5"/>
  <c r="O38" i="5"/>
  <c r="N38" i="5"/>
  <c r="M38" i="5"/>
  <c r="AQ37" i="5"/>
  <c r="AP37" i="5"/>
  <c r="AL37" i="5"/>
  <c r="AK37" i="5"/>
  <c r="AJ37" i="5"/>
  <c r="AI37" i="5"/>
  <c r="AH37" i="5"/>
  <c r="AG37" i="5"/>
  <c r="AF37" i="5"/>
  <c r="AE37" i="5"/>
  <c r="AD37" i="5"/>
  <c r="E37" i="5"/>
  <c r="D37" i="5"/>
  <c r="AQ36" i="5"/>
  <c r="AP36" i="5"/>
  <c r="AL36" i="5"/>
  <c r="AK36" i="5"/>
  <c r="AJ36" i="5"/>
  <c r="AI36" i="5"/>
  <c r="AH36" i="5"/>
  <c r="AG36" i="5"/>
  <c r="AF36" i="5"/>
  <c r="AE36" i="5"/>
  <c r="AD36" i="5"/>
  <c r="AQ35" i="5"/>
  <c r="AP35" i="5"/>
  <c r="AL35" i="5"/>
  <c r="AK35" i="5"/>
  <c r="AJ35" i="5"/>
  <c r="AI35" i="5"/>
  <c r="AH35" i="5"/>
  <c r="AG35" i="5"/>
  <c r="AF35" i="5"/>
  <c r="AE35" i="5"/>
  <c r="AD35" i="5"/>
  <c r="F35" i="5"/>
  <c r="F34" i="5" s="1"/>
  <c r="E35" i="5"/>
  <c r="D35" i="5"/>
  <c r="AT34" i="5"/>
  <c r="AS34" i="5"/>
  <c r="AO34" i="5"/>
  <c r="AN34" i="5"/>
  <c r="AC34" i="5"/>
  <c r="AG34" i="5" s="1"/>
  <c r="AB34" i="5"/>
  <c r="AA34" i="5"/>
  <c r="Z34" i="5"/>
  <c r="Y34" i="5"/>
  <c r="X34" i="5"/>
  <c r="W34" i="5"/>
  <c r="V34" i="5"/>
  <c r="U34" i="5"/>
  <c r="AK34" i="5" s="1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D34" i="5"/>
  <c r="AQ33" i="5"/>
  <c r="AP33" i="5"/>
  <c r="AL33" i="5"/>
  <c r="AK33" i="5"/>
  <c r="AC33" i="5"/>
  <c r="AG33" i="5" s="1"/>
  <c r="AB33" i="5"/>
  <c r="F33" i="5"/>
  <c r="F32" i="5" s="1"/>
  <c r="E33" i="5"/>
  <c r="D33" i="5"/>
  <c r="D32" i="5" s="1"/>
  <c r="AQ32" i="5"/>
  <c r="AP32" i="5"/>
  <c r="AL32" i="5"/>
  <c r="AK32" i="5"/>
  <c r="AD32" i="5"/>
  <c r="AC32" i="5"/>
  <c r="AB32" i="5"/>
  <c r="AE32" i="5" s="1"/>
  <c r="K32" i="5"/>
  <c r="J32" i="5"/>
  <c r="I32" i="5"/>
  <c r="H32" i="5"/>
  <c r="G32" i="5"/>
  <c r="E32" i="5"/>
  <c r="AQ31" i="5"/>
  <c r="AP31" i="5"/>
  <c r="AK31" i="5"/>
  <c r="AI31" i="5"/>
  <c r="AG31" i="5"/>
  <c r="AF31" i="5"/>
  <c r="AE31" i="5"/>
  <c r="AD31" i="5"/>
  <c r="AT30" i="5"/>
  <c r="AS30" i="5"/>
  <c r="AO30" i="5"/>
  <c r="AP30" i="5" s="1"/>
  <c r="AN30" i="5"/>
  <c r="AQ30" i="5" s="1"/>
  <c r="AC30" i="5"/>
  <c r="AB30" i="5"/>
  <c r="AF30" i="5" s="1"/>
  <c r="AA30" i="5"/>
  <c r="AI30" i="5" s="1"/>
  <c r="Z30" i="5"/>
  <c r="Y30" i="5"/>
  <c r="X30" i="5"/>
  <c r="P30" i="5"/>
  <c r="O30" i="5"/>
  <c r="N30" i="5"/>
  <c r="M30" i="5"/>
  <c r="L30" i="5"/>
  <c r="K30" i="5"/>
  <c r="AQ29" i="5"/>
  <c r="AP29" i="5"/>
  <c r="AL29" i="5"/>
  <c r="AK29" i="5"/>
  <c r="AJ29" i="5"/>
  <c r="AI29" i="5"/>
  <c r="AH29" i="5"/>
  <c r="AG29" i="5"/>
  <c r="AF29" i="5"/>
  <c r="AE29" i="5"/>
  <c r="AD29" i="5"/>
  <c r="F29" i="5"/>
  <c r="E29" i="5"/>
  <c r="D29" i="5"/>
  <c r="AQ28" i="5"/>
  <c r="AP28" i="5"/>
  <c r="AL28" i="5"/>
  <c r="AK28" i="5"/>
  <c r="AJ28" i="5"/>
  <c r="AI28" i="5"/>
  <c r="AH28" i="5"/>
  <c r="AG28" i="5"/>
  <c r="AF28" i="5"/>
  <c r="AE28" i="5"/>
  <c r="AD28" i="5"/>
  <c r="F28" i="5"/>
  <c r="E28" i="5"/>
  <c r="D28" i="5"/>
  <c r="AQ27" i="5"/>
  <c r="AP27" i="5"/>
  <c r="AL27" i="5"/>
  <c r="AK27" i="5"/>
  <c r="AJ27" i="5"/>
  <c r="AI27" i="5"/>
  <c r="AH27" i="5"/>
  <c r="AG27" i="5"/>
  <c r="AF27" i="5"/>
  <c r="AE27" i="5"/>
  <c r="AD27" i="5"/>
  <c r="F27" i="5"/>
  <c r="F26" i="5" s="1"/>
  <c r="E27" i="5"/>
  <c r="D27" i="5"/>
  <c r="AT26" i="5"/>
  <c r="AS26" i="5"/>
  <c r="AO26" i="5"/>
  <c r="AN26" i="5"/>
  <c r="AJ26" i="5"/>
  <c r="AC26" i="5"/>
  <c r="AB26" i="5"/>
  <c r="AA26" i="5"/>
  <c r="Z26" i="5"/>
  <c r="Y26" i="5"/>
  <c r="X26" i="5"/>
  <c r="W26" i="5"/>
  <c r="V26" i="5"/>
  <c r="U26" i="5"/>
  <c r="AK26" i="5" s="1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D26" i="5"/>
  <c r="AQ25" i="5"/>
  <c r="AP25" i="5"/>
  <c r="AL25" i="5"/>
  <c r="AK25" i="5"/>
  <c r="AJ25" i="5"/>
  <c r="AI25" i="5"/>
  <c r="AH25" i="5"/>
  <c r="AG25" i="5"/>
  <c r="AF25" i="5"/>
  <c r="AE25" i="5"/>
  <c r="AD25" i="5"/>
  <c r="E25" i="5"/>
  <c r="AQ24" i="5"/>
  <c r="AP24" i="5"/>
  <c r="AL24" i="5"/>
  <c r="AK24" i="5"/>
  <c r="AJ24" i="5"/>
  <c r="AI24" i="5"/>
  <c r="AH24" i="5"/>
  <c r="AG24" i="5"/>
  <c r="AF24" i="5"/>
  <c r="AE24" i="5"/>
  <c r="AD24" i="5"/>
  <c r="F24" i="5"/>
  <c r="F19" i="5" s="1"/>
  <c r="E24" i="5"/>
  <c r="D24" i="5"/>
  <c r="AQ23" i="5"/>
  <c r="AP23" i="5"/>
  <c r="AL23" i="5"/>
  <c r="AK23" i="5"/>
  <c r="AJ23" i="5"/>
  <c r="AI23" i="5"/>
  <c r="AH23" i="5"/>
  <c r="AG23" i="5"/>
  <c r="AF23" i="5"/>
  <c r="AE23" i="5"/>
  <c r="AD23" i="5"/>
  <c r="E23" i="5"/>
  <c r="D23" i="5"/>
  <c r="AQ22" i="5"/>
  <c r="AP22" i="5"/>
  <c r="AL22" i="5"/>
  <c r="AK22" i="5"/>
  <c r="AJ22" i="5"/>
  <c r="AI22" i="5"/>
  <c r="AH22" i="5"/>
  <c r="AG22" i="5"/>
  <c r="AF22" i="5"/>
  <c r="AE22" i="5"/>
  <c r="AD22" i="5"/>
  <c r="AP21" i="5"/>
  <c r="AK21" i="5"/>
  <c r="AJ21" i="5"/>
  <c r="AI21" i="5"/>
  <c r="AG21" i="5"/>
  <c r="AF21" i="5"/>
  <c r="AE21" i="5"/>
  <c r="AD21" i="5"/>
  <c r="AQ20" i="5"/>
  <c r="AP20" i="5"/>
  <c r="AL20" i="5"/>
  <c r="AK20" i="5"/>
  <c r="AJ20" i="5"/>
  <c r="AI20" i="5"/>
  <c r="AH20" i="5"/>
  <c r="AG20" i="5"/>
  <c r="AF20" i="5"/>
  <c r="AE20" i="5"/>
  <c r="AD20" i="5"/>
  <c r="F20" i="5"/>
  <c r="E20" i="5"/>
  <c r="D20" i="5"/>
  <c r="D19" i="5" s="1"/>
  <c r="AT19" i="5"/>
  <c r="AS19" i="5"/>
  <c r="AO19" i="5"/>
  <c r="AQ19" i="5" s="1"/>
  <c r="AN19" i="5"/>
  <c r="AH19" i="5"/>
  <c r="AC19" i="5"/>
  <c r="AB19" i="5"/>
  <c r="AE19" i="5" s="1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AQ18" i="5"/>
  <c r="AP18" i="5"/>
  <c r="AL18" i="5"/>
  <c r="AK18" i="5"/>
  <c r="AJ18" i="5"/>
  <c r="AI18" i="5"/>
  <c r="AH18" i="5"/>
  <c r="AG18" i="5"/>
  <c r="AF18" i="5"/>
  <c r="AE18" i="5"/>
  <c r="AD18" i="5"/>
  <c r="F18" i="5"/>
  <c r="AQ17" i="5"/>
  <c r="AP17" i="5"/>
  <c r="AL17" i="5"/>
  <c r="AK17" i="5"/>
  <c r="AI17" i="5"/>
  <c r="AH17" i="5"/>
  <c r="AG17" i="5"/>
  <c r="AF17" i="5"/>
  <c r="AE17" i="5"/>
  <c r="AD17" i="5"/>
  <c r="Y17" i="5"/>
  <c r="X17" i="5"/>
  <c r="X14" i="5" s="1"/>
  <c r="AP16" i="5"/>
  <c r="AL16" i="5"/>
  <c r="AK16" i="5"/>
  <c r="AJ16" i="5"/>
  <c r="AH16" i="5"/>
  <c r="AF16" i="5"/>
  <c r="AD16" i="5"/>
  <c r="F16" i="5"/>
  <c r="E16" i="5"/>
  <c r="D16" i="5"/>
  <c r="D14" i="5" s="1"/>
  <c r="AQ15" i="5"/>
  <c r="AP15" i="5"/>
  <c r="AL15" i="5"/>
  <c r="AK15" i="5"/>
  <c r="AJ15" i="5"/>
  <c r="AI15" i="5"/>
  <c r="AH15" i="5"/>
  <c r="AG15" i="5"/>
  <c r="AF15" i="5"/>
  <c r="AE15" i="5"/>
  <c r="AD15" i="5"/>
  <c r="F15" i="5"/>
  <c r="E15" i="5"/>
  <c r="AT14" i="5"/>
  <c r="AS14" i="5"/>
  <c r="AO14" i="5"/>
  <c r="AP14" i="5" s="1"/>
  <c r="AN14" i="5"/>
  <c r="AG14" i="5"/>
  <c r="AC14" i="5"/>
  <c r="AH14" i="5" s="1"/>
  <c r="AB14" i="5"/>
  <c r="AA14" i="5"/>
  <c r="AK14" i="5" s="1"/>
  <c r="Z14" i="5"/>
  <c r="Y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AQ13" i="5"/>
  <c r="AP13" i="5"/>
  <c r="AL13" i="5"/>
  <c r="AK13" i="5"/>
  <c r="AJ13" i="5"/>
  <c r="AI13" i="5"/>
  <c r="AH13" i="5"/>
  <c r="AG13" i="5"/>
  <c r="AF13" i="5"/>
  <c r="AE13" i="5"/>
  <c r="AD13" i="5"/>
  <c r="F13" i="5"/>
  <c r="F12" i="5" s="1"/>
  <c r="E13" i="5"/>
  <c r="D13" i="5"/>
  <c r="AT12" i="5"/>
  <c r="AS12" i="5"/>
  <c r="AO12" i="5"/>
  <c r="AN12" i="5"/>
  <c r="AG12" i="5"/>
  <c r="AF12" i="5"/>
  <c r="AC12" i="5"/>
  <c r="AB12" i="5"/>
  <c r="AA12" i="5"/>
  <c r="AL12" i="5" s="1"/>
  <c r="Z12" i="5"/>
  <c r="Y12" i="5"/>
  <c r="X12" i="5"/>
  <c r="W12" i="5"/>
  <c r="V12" i="5"/>
  <c r="U12" i="5"/>
  <c r="T12" i="5"/>
  <c r="AJ12" i="5" s="1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E12" i="5"/>
  <c r="D12" i="5"/>
  <c r="AQ11" i="5"/>
  <c r="AP11" i="5"/>
  <c r="AL11" i="5"/>
  <c r="AK11" i="5"/>
  <c r="AJ11" i="5"/>
  <c r="AI11" i="5"/>
  <c r="AH11" i="5"/>
  <c r="AG11" i="5"/>
  <c r="AF11" i="5"/>
  <c r="AE11" i="5"/>
  <c r="AD11" i="5"/>
  <c r="F11" i="5"/>
  <c r="E11" i="5"/>
  <c r="D11" i="5"/>
  <c r="AQ10" i="5"/>
  <c r="AP10" i="5"/>
  <c r="AL10" i="5"/>
  <c r="AK10" i="5"/>
  <c r="AH10" i="5"/>
  <c r="AF10" i="5"/>
  <c r="AD10" i="5"/>
  <c r="AQ9" i="5"/>
  <c r="AP9" i="5"/>
  <c r="AL9" i="5"/>
  <c r="AK9" i="5"/>
  <c r="AJ9" i="5"/>
  <c r="AI9" i="5"/>
  <c r="AH9" i="5"/>
  <c r="AG9" i="5"/>
  <c r="AF9" i="5"/>
  <c r="AE9" i="5"/>
  <c r="AD9" i="5"/>
  <c r="AQ8" i="5"/>
  <c r="AP8" i="5"/>
  <c r="AL8" i="5"/>
  <c r="AK8" i="5"/>
  <c r="AJ8" i="5"/>
  <c r="AI8" i="5"/>
  <c r="AH8" i="5"/>
  <c r="AG8" i="5"/>
  <c r="AF8" i="5"/>
  <c r="AE8" i="5"/>
  <c r="AD8" i="5"/>
  <c r="F8" i="5"/>
  <c r="E8" i="5"/>
  <c r="AQ7" i="5"/>
  <c r="AP7" i="5"/>
  <c r="AL7" i="5"/>
  <c r="AK7" i="5"/>
  <c r="AJ7" i="5"/>
  <c r="AI7" i="5"/>
  <c r="AH7" i="5"/>
  <c r="AG7" i="5"/>
  <c r="AF7" i="5"/>
  <c r="AE7" i="5"/>
  <c r="AD7" i="5"/>
  <c r="F7" i="5"/>
  <c r="E7" i="5"/>
  <c r="D7" i="5"/>
  <c r="AQ6" i="5"/>
  <c r="AP6" i="5"/>
  <c r="AL6" i="5"/>
  <c r="AK6" i="5"/>
  <c r="AJ6" i="5"/>
  <c r="AI6" i="5"/>
  <c r="AH6" i="5"/>
  <c r="AG6" i="5"/>
  <c r="AF6" i="5"/>
  <c r="AE6" i="5"/>
  <c r="AD6" i="5"/>
  <c r="F6" i="5"/>
  <c r="F5" i="5" s="1"/>
  <c r="E6" i="5"/>
  <c r="D6" i="5"/>
  <c r="D5" i="5" s="1"/>
  <c r="AT5" i="5"/>
  <c r="AS5" i="5"/>
  <c r="AO5" i="5"/>
  <c r="AN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K299" i="6" l="1"/>
  <c r="I298" i="6"/>
  <c r="N286" i="6"/>
  <c r="R12" i="6"/>
  <c r="L19" i="6"/>
  <c r="R51" i="6"/>
  <c r="Q138" i="6"/>
  <c r="N144" i="6"/>
  <c r="Q178" i="6"/>
  <c r="R195" i="6"/>
  <c r="Q227" i="6"/>
  <c r="P237" i="6"/>
  <c r="Q266" i="6"/>
  <c r="N299" i="6"/>
  <c r="R303" i="6"/>
  <c r="P308" i="6"/>
  <c r="P319" i="6"/>
  <c r="M322" i="6"/>
  <c r="K12" i="6"/>
  <c r="L51" i="6"/>
  <c r="I63" i="6"/>
  <c r="L63" i="6" s="1"/>
  <c r="N64" i="6"/>
  <c r="J68" i="6"/>
  <c r="M69" i="6"/>
  <c r="N80" i="6"/>
  <c r="Q121" i="6"/>
  <c r="K128" i="6"/>
  <c r="H163" i="6"/>
  <c r="L164" i="6"/>
  <c r="L177" i="6"/>
  <c r="L178" i="6"/>
  <c r="R178" i="6"/>
  <c r="I183" i="6"/>
  <c r="I182" i="6" s="1"/>
  <c r="I220" i="6"/>
  <c r="Q237" i="6"/>
  <c r="N245" i="6"/>
  <c r="I254" i="6"/>
  <c r="M286" i="6"/>
  <c r="N287" i="6"/>
  <c r="N300" i="6"/>
  <c r="N307" i="6"/>
  <c r="L314" i="6"/>
  <c r="H317" i="6"/>
  <c r="Q317" i="6" s="1"/>
  <c r="L319" i="6"/>
  <c r="Q322" i="6"/>
  <c r="N353" i="6"/>
  <c r="O12" i="6"/>
  <c r="N69" i="6"/>
  <c r="L82" i="6"/>
  <c r="O108" i="6"/>
  <c r="I122" i="6"/>
  <c r="K123" i="6"/>
  <c r="N128" i="6"/>
  <c r="K129" i="6"/>
  <c r="Q137" i="6"/>
  <c r="H143" i="6"/>
  <c r="K145" i="6"/>
  <c r="H176" i="6"/>
  <c r="H175" i="6" s="1"/>
  <c r="H174" i="6" s="1"/>
  <c r="Q183" i="6"/>
  <c r="K184" i="6"/>
  <c r="K186" i="6"/>
  <c r="H194" i="6"/>
  <c r="Q194" i="6" s="1"/>
  <c r="P244" i="6"/>
  <c r="K245" i="6"/>
  <c r="N266" i="6"/>
  <c r="K287" i="6"/>
  <c r="P299" i="6"/>
  <c r="K300" i="6"/>
  <c r="H313" i="6"/>
  <c r="H312" i="6" s="1"/>
  <c r="P315" i="6"/>
  <c r="P317" i="6"/>
  <c r="P318" i="6"/>
  <c r="J10" i="6"/>
  <c r="P10" i="6" s="1"/>
  <c r="M11" i="6"/>
  <c r="L12" i="6"/>
  <c r="I50" i="6"/>
  <c r="I49" i="6" s="1"/>
  <c r="I48" i="6" s="1"/>
  <c r="L58" i="6"/>
  <c r="L59" i="6"/>
  <c r="P82" i="6"/>
  <c r="N113" i="6"/>
  <c r="R137" i="6"/>
  <c r="Q144" i="6"/>
  <c r="K144" i="6"/>
  <c r="N145" i="6"/>
  <c r="K164" i="6"/>
  <c r="H170" i="6"/>
  <c r="H169" i="6" s="1"/>
  <c r="H168" i="6" s="1"/>
  <c r="G181" i="6"/>
  <c r="G186" i="6"/>
  <c r="M241" i="6"/>
  <c r="I244" i="6"/>
  <c r="L255" i="6"/>
  <c r="Q303" i="6"/>
  <c r="H307" i="6"/>
  <c r="K319" i="6"/>
  <c r="H9" i="6"/>
  <c r="R11" i="6"/>
  <c r="G10" i="6"/>
  <c r="G9" i="6" s="1"/>
  <c r="G8" i="6" s="1"/>
  <c r="G7" i="6" s="1"/>
  <c r="G6" i="6" s="1"/>
  <c r="Q11" i="6"/>
  <c r="O11" i="6"/>
  <c r="K18" i="6"/>
  <c r="K19" i="6"/>
  <c r="H18" i="6"/>
  <c r="L18" i="6" s="1"/>
  <c r="R19" i="6"/>
  <c r="Q19" i="6"/>
  <c r="P19" i="6"/>
  <c r="K20" i="6"/>
  <c r="R20" i="6"/>
  <c r="Q20" i="6"/>
  <c r="P20" i="6"/>
  <c r="R46" i="6"/>
  <c r="K46" i="6"/>
  <c r="Q46" i="6"/>
  <c r="L96" i="6"/>
  <c r="K96" i="6"/>
  <c r="I95" i="6"/>
  <c r="M123" i="6"/>
  <c r="J122" i="6"/>
  <c r="N123" i="6"/>
  <c r="Q136" i="6"/>
  <c r="H135" i="6"/>
  <c r="R136" i="6"/>
  <c r="J158" i="6"/>
  <c r="P159" i="6"/>
  <c r="N159" i="6"/>
  <c r="M159" i="6"/>
  <c r="Q177" i="6"/>
  <c r="R177" i="6"/>
  <c r="G176" i="6"/>
  <c r="G175" i="6" s="1"/>
  <c r="H191" i="6"/>
  <c r="R192" i="6"/>
  <c r="Q192" i="6"/>
  <c r="K204" i="6"/>
  <c r="L204" i="6"/>
  <c r="P231" i="6"/>
  <c r="O231" i="6"/>
  <c r="J9" i="6"/>
  <c r="I10" i="6"/>
  <c r="M10" i="6" s="1"/>
  <c r="L11" i="6"/>
  <c r="P11" i="6"/>
  <c r="P12" i="6"/>
  <c r="J18" i="6"/>
  <c r="M19" i="6"/>
  <c r="M20" i="6"/>
  <c r="J30" i="6"/>
  <c r="I31" i="6"/>
  <c r="M31" i="6" s="1"/>
  <c r="O32" i="6"/>
  <c r="M44" i="6"/>
  <c r="J43" i="6"/>
  <c r="H57" i="6"/>
  <c r="Q58" i="6"/>
  <c r="M59" i="6"/>
  <c r="N59" i="6"/>
  <c r="Q59" i="6"/>
  <c r="K63" i="6"/>
  <c r="K64" i="6"/>
  <c r="H67" i="6"/>
  <c r="L69" i="6"/>
  <c r="K69" i="6"/>
  <c r="I68" i="6"/>
  <c r="O69" i="6"/>
  <c r="N79" i="6"/>
  <c r="P80" i="6"/>
  <c r="M82" i="6"/>
  <c r="K83" i="6"/>
  <c r="K91" i="6"/>
  <c r="P96" i="6"/>
  <c r="N96" i="6"/>
  <c r="Q100" i="6"/>
  <c r="H99" i="6"/>
  <c r="L101" i="6"/>
  <c r="R109" i="6"/>
  <c r="P109" i="6"/>
  <c r="R112" i="6"/>
  <c r="Q112" i="6"/>
  <c r="Q113" i="6"/>
  <c r="R113" i="6"/>
  <c r="G120" i="6"/>
  <c r="G119" i="6" s="1"/>
  <c r="G118" i="6" s="1"/>
  <c r="Q122" i="6"/>
  <c r="K140" i="6"/>
  <c r="L140" i="6"/>
  <c r="R143" i="6"/>
  <c r="Q143" i="6"/>
  <c r="M187" i="6"/>
  <c r="J186" i="6"/>
  <c r="P187" i="6"/>
  <c r="O187" i="6"/>
  <c r="N187" i="6"/>
  <c r="I203" i="6"/>
  <c r="K235" i="6"/>
  <c r="L235" i="6"/>
  <c r="L236" i="6"/>
  <c r="K236" i="6"/>
  <c r="N236" i="6"/>
  <c r="M52" i="6"/>
  <c r="J51" i="6"/>
  <c r="H119" i="6"/>
  <c r="M12" i="6"/>
  <c r="N19" i="6"/>
  <c r="N20" i="6"/>
  <c r="O31" i="6"/>
  <c r="H45" i="6"/>
  <c r="K45" i="6" s="1"/>
  <c r="Q51" i="6"/>
  <c r="H50" i="6"/>
  <c r="L50" i="6" s="1"/>
  <c r="N52" i="6"/>
  <c r="I57" i="6"/>
  <c r="P58" i="6"/>
  <c r="N58" i="6"/>
  <c r="K59" i="6"/>
  <c r="Q68" i="6"/>
  <c r="L79" i="6"/>
  <c r="K80" i="6"/>
  <c r="Q80" i="6"/>
  <c r="L83" i="6"/>
  <c r="R91" i="6"/>
  <c r="H90" i="6"/>
  <c r="K90" i="6" s="1"/>
  <c r="L91" i="6"/>
  <c r="Q91" i="6"/>
  <c r="M95" i="6"/>
  <c r="J89" i="6"/>
  <c r="M96" i="6"/>
  <c r="K100" i="6"/>
  <c r="I99" i="6"/>
  <c r="L100" i="6"/>
  <c r="K109" i="6"/>
  <c r="I108" i="6"/>
  <c r="P123" i="6"/>
  <c r="L138" i="6"/>
  <c r="K138" i="6"/>
  <c r="I137" i="6"/>
  <c r="M141" i="6"/>
  <c r="J140" i="6"/>
  <c r="P141" i="6"/>
  <c r="N141" i="6"/>
  <c r="M184" i="6"/>
  <c r="J183" i="6"/>
  <c r="N184" i="6"/>
  <c r="P184" i="6"/>
  <c r="M204" i="6"/>
  <c r="L212" i="6"/>
  <c r="I211" i="6"/>
  <c r="N212" i="6"/>
  <c r="M212" i="6"/>
  <c r="H240" i="6"/>
  <c r="P241" i="6"/>
  <c r="K241" i="6"/>
  <c r="L241" i="6"/>
  <c r="H239" i="6"/>
  <c r="K32" i="6"/>
  <c r="L32" i="6"/>
  <c r="P52" i="6"/>
  <c r="J63" i="6"/>
  <c r="M64" i="6"/>
  <c r="H107" i="6"/>
  <c r="R108" i="6"/>
  <c r="P108" i="6"/>
  <c r="O19" i="6"/>
  <c r="O20" i="6"/>
  <c r="J28" i="6"/>
  <c r="O29" i="6"/>
  <c r="Q32" i="6"/>
  <c r="H31" i="6"/>
  <c r="N32" i="6"/>
  <c r="I43" i="6"/>
  <c r="O52" i="6"/>
  <c r="P64" i="6"/>
  <c r="R68" i="6"/>
  <c r="R79" i="6"/>
  <c r="P79" i="6"/>
  <c r="M79" i="6"/>
  <c r="L80" i="6"/>
  <c r="K82" i="6"/>
  <c r="M83" i="6"/>
  <c r="P107" i="6"/>
  <c r="K122" i="6"/>
  <c r="I121" i="6"/>
  <c r="L122" i="6"/>
  <c r="Q128" i="6"/>
  <c r="R128" i="6"/>
  <c r="O128" i="6"/>
  <c r="R153" i="6"/>
  <c r="Q153" i="6"/>
  <c r="L153" i="6"/>
  <c r="P153" i="6"/>
  <c r="H152" i="6"/>
  <c r="M164" i="6"/>
  <c r="J163" i="6"/>
  <c r="P164" i="6"/>
  <c r="N164" i="6"/>
  <c r="O177" i="6"/>
  <c r="H250" i="6"/>
  <c r="Q250" i="6" s="1"/>
  <c r="Q251" i="6"/>
  <c r="P251" i="6"/>
  <c r="H249" i="6"/>
  <c r="Q249" i="6" s="1"/>
  <c r="Q314" i="6"/>
  <c r="G313" i="6"/>
  <c r="G312" i="6" s="1"/>
  <c r="G311" i="6" s="1"/>
  <c r="G310" i="6" s="1"/>
  <c r="R314" i="6"/>
  <c r="R127" i="6"/>
  <c r="Q127" i="6"/>
  <c r="P138" i="6"/>
  <c r="O138" i="6"/>
  <c r="M144" i="6"/>
  <c r="J143" i="6"/>
  <c r="P144" i="6"/>
  <c r="M145" i="6"/>
  <c r="P145" i="6"/>
  <c r="K153" i="6"/>
  <c r="H156" i="6"/>
  <c r="Q156" i="6" s="1"/>
  <c r="Q157" i="6"/>
  <c r="Q158" i="6"/>
  <c r="K163" i="6"/>
  <c r="I162" i="6"/>
  <c r="L171" i="6"/>
  <c r="K171" i="6"/>
  <c r="I170" i="6"/>
  <c r="N177" i="6"/>
  <c r="N178" i="6"/>
  <c r="Q182" i="6"/>
  <c r="H181" i="6"/>
  <c r="P195" i="6"/>
  <c r="J193" i="6"/>
  <c r="O195" i="6"/>
  <c r="J194" i="6"/>
  <c r="N195" i="6"/>
  <c r="H203" i="6"/>
  <c r="R204" i="6"/>
  <c r="Q204" i="6"/>
  <c r="P204" i="6"/>
  <c r="Q220" i="6"/>
  <c r="H219" i="6"/>
  <c r="R220" i="6"/>
  <c r="O221" i="6"/>
  <c r="P235" i="6"/>
  <c r="M235" i="6"/>
  <c r="N235" i="6"/>
  <c r="K251" i="6"/>
  <c r="L251" i="6"/>
  <c r="I249" i="6"/>
  <c r="J260" i="6"/>
  <c r="K278" i="6"/>
  <c r="I277" i="6"/>
  <c r="K298" i="6"/>
  <c r="L298" i="6"/>
  <c r="H311" i="6"/>
  <c r="L52" i="6"/>
  <c r="R52" i="6"/>
  <c r="K58" i="6"/>
  <c r="N83" i="6"/>
  <c r="N91" i="6"/>
  <c r="N109" i="6"/>
  <c r="M113" i="6"/>
  <c r="J112" i="6"/>
  <c r="P113" i="6"/>
  <c r="M128" i="6"/>
  <c r="J127" i="6"/>
  <c r="P128" i="6"/>
  <c r="M129" i="6"/>
  <c r="P129" i="6"/>
  <c r="J137" i="6"/>
  <c r="M138" i="6"/>
  <c r="I152" i="6"/>
  <c r="N152" i="6" s="1"/>
  <c r="N153" i="6"/>
  <c r="L163" i="6"/>
  <c r="J170" i="6"/>
  <c r="P171" i="6"/>
  <c r="K182" i="6"/>
  <c r="R187" i="6"/>
  <c r="M188" i="6"/>
  <c r="P188" i="6"/>
  <c r="O188" i="6"/>
  <c r="N188" i="6"/>
  <c r="M195" i="6"/>
  <c r="O202" i="6"/>
  <c r="Q213" i="6"/>
  <c r="K213" i="6"/>
  <c r="L213" i="6"/>
  <c r="H212" i="6"/>
  <c r="K212" i="6" s="1"/>
  <c r="Q232" i="6"/>
  <c r="I250" i="6"/>
  <c r="L159" i="6"/>
  <c r="K159" i="6"/>
  <c r="I158" i="6"/>
  <c r="Q170" i="6"/>
  <c r="M177" i="6"/>
  <c r="J176" i="6"/>
  <c r="P177" i="6"/>
  <c r="M178" i="6"/>
  <c r="P178" i="6"/>
  <c r="K205" i="6"/>
  <c r="M205" i="6"/>
  <c r="L205" i="6"/>
  <c r="G210" i="6"/>
  <c r="G209" i="6" s="1"/>
  <c r="G208" i="6" s="1"/>
  <c r="M217" i="6"/>
  <c r="N217" i="6"/>
  <c r="P217" i="6"/>
  <c r="J216" i="6"/>
  <c r="M221" i="6"/>
  <c r="J220" i="6"/>
  <c r="P221" i="6"/>
  <c r="N221" i="6"/>
  <c r="L228" i="6"/>
  <c r="K228" i="6"/>
  <c r="P243" i="6"/>
  <c r="Q255" i="6"/>
  <c r="H254" i="6"/>
  <c r="R255" i="6"/>
  <c r="K255" i="6"/>
  <c r="P255" i="6"/>
  <c r="N265" i="6"/>
  <c r="M265" i="6"/>
  <c r="H278" i="6"/>
  <c r="L278" i="6" s="1"/>
  <c r="Q279" i="6"/>
  <c r="P279" i="6"/>
  <c r="K279" i="6"/>
  <c r="G282" i="6"/>
  <c r="G283" i="6"/>
  <c r="G281" i="6" s="1"/>
  <c r="M314" i="6"/>
  <c r="J313" i="6"/>
  <c r="P314" i="6"/>
  <c r="O314" i="6"/>
  <c r="N314" i="6"/>
  <c r="I328" i="6"/>
  <c r="M329" i="6"/>
  <c r="J100" i="6"/>
  <c r="M101" i="6"/>
  <c r="G107" i="6"/>
  <c r="G106" i="6" s="1"/>
  <c r="G105" i="6" s="1"/>
  <c r="G104" i="6" s="1"/>
  <c r="I112" i="6"/>
  <c r="I127" i="6"/>
  <c r="I143" i="6"/>
  <c r="G151" i="6"/>
  <c r="G150" i="6" s="1"/>
  <c r="G149" i="6" s="1"/>
  <c r="G148" i="6" s="1"/>
  <c r="I176" i="6"/>
  <c r="K183" i="6"/>
  <c r="R186" i="6"/>
  <c r="Q186" i="6"/>
  <c r="L196" i="6"/>
  <c r="K196" i="6"/>
  <c r="J201" i="6"/>
  <c r="O203" i="6"/>
  <c r="Q215" i="6"/>
  <c r="L229" i="6"/>
  <c r="I227" i="6"/>
  <c r="K229" i="6"/>
  <c r="P232" i="6"/>
  <c r="M236" i="6"/>
  <c r="L237" i="6"/>
  <c r="K237" i="6"/>
  <c r="K266" i="6"/>
  <c r="M266" i="6"/>
  <c r="L266" i="6"/>
  <c r="P278" i="6"/>
  <c r="J277" i="6"/>
  <c r="N278" i="6"/>
  <c r="M278" i="6"/>
  <c r="H282" i="6"/>
  <c r="Q282" i="6" s="1"/>
  <c r="H283" i="6"/>
  <c r="R193" i="6"/>
  <c r="Q193" i="6"/>
  <c r="L195" i="6"/>
  <c r="I194" i="6"/>
  <c r="K195" i="6"/>
  <c r="I193" i="6"/>
  <c r="P196" i="6"/>
  <c r="O196" i="6"/>
  <c r="J226" i="6"/>
  <c r="N227" i="6"/>
  <c r="J228" i="6"/>
  <c r="M229" i="6"/>
  <c r="Q231" i="6"/>
  <c r="R231" i="6"/>
  <c r="L233" i="6"/>
  <c r="I231" i="6"/>
  <c r="M231" i="6" s="1"/>
  <c r="K233" i="6"/>
  <c r="I232" i="6"/>
  <c r="M232" i="6" s="1"/>
  <c r="L254" i="6"/>
  <c r="I253" i="6"/>
  <c r="P262" i="6"/>
  <c r="H261" i="6"/>
  <c r="Q262" i="6"/>
  <c r="K285" i="6"/>
  <c r="I284" i="6"/>
  <c r="H293" i="6"/>
  <c r="Q294" i="6"/>
  <c r="P303" i="6"/>
  <c r="O303" i="6"/>
  <c r="J302" i="6"/>
  <c r="N303" i="6"/>
  <c r="M303" i="6"/>
  <c r="R344" i="6"/>
  <c r="Q344" i="6"/>
  <c r="L344" i="6"/>
  <c r="H343" i="6"/>
  <c r="N204" i="6"/>
  <c r="N205" i="6"/>
  <c r="P212" i="6"/>
  <c r="M213" i="6"/>
  <c r="P213" i="6"/>
  <c r="O233" i="6"/>
  <c r="N239" i="6"/>
  <c r="L240" i="6"/>
  <c r="N240" i="6"/>
  <c r="Q244" i="6"/>
  <c r="L245" i="6"/>
  <c r="P249" i="6"/>
  <c r="N251" i="6"/>
  <c r="K262" i="6"/>
  <c r="I261" i="6"/>
  <c r="L286" i="6"/>
  <c r="K286" i="6"/>
  <c r="M338" i="6"/>
  <c r="J337" i="6"/>
  <c r="P338" i="6"/>
  <c r="O338" i="6"/>
  <c r="N338" i="6"/>
  <c r="G350" i="6"/>
  <c r="G335" i="6" s="1"/>
  <c r="G334" i="6" s="1"/>
  <c r="G333" i="6" s="1"/>
  <c r="Q351" i="6"/>
  <c r="O204" i="6"/>
  <c r="O205" i="6"/>
  <c r="J211" i="6"/>
  <c r="K216" i="6"/>
  <c r="L221" i="6"/>
  <c r="R221" i="6"/>
  <c r="Q236" i="6"/>
  <c r="P239" i="6"/>
  <c r="N241" i="6"/>
  <c r="M255" i="6"/>
  <c r="J254" i="6"/>
  <c r="O255" i="6"/>
  <c r="N262" i="6"/>
  <c r="H265" i="6"/>
  <c r="R266" i="6"/>
  <c r="K267" i="6"/>
  <c r="P286" i="6"/>
  <c r="J285" i="6"/>
  <c r="L287" i="6"/>
  <c r="O295" i="6"/>
  <c r="N295" i="6"/>
  <c r="J294" i="6"/>
  <c r="M295" i="6"/>
  <c r="G298" i="6"/>
  <c r="R298" i="6" s="1"/>
  <c r="O299" i="6"/>
  <c r="K343" i="6"/>
  <c r="G265" i="6"/>
  <c r="O265" i="6" s="1"/>
  <c r="M279" i="6"/>
  <c r="M287" i="6"/>
  <c r="I294" i="6"/>
  <c r="R299" i="6"/>
  <c r="Q299" i="6"/>
  <c r="L299" i="6"/>
  <c r="R300" i="6"/>
  <c r="Q300" i="6"/>
  <c r="L300" i="6"/>
  <c r="Q302" i="6"/>
  <c r="L304" i="6"/>
  <c r="K304" i="6"/>
  <c r="P321" i="6"/>
  <c r="J327" i="6"/>
  <c r="O328" i="6"/>
  <c r="M348" i="6"/>
  <c r="J347" i="6"/>
  <c r="P348" i="6"/>
  <c r="N348" i="6"/>
  <c r="L303" i="6"/>
  <c r="I302" i="6"/>
  <c r="K303" i="6"/>
  <c r="P304" i="6"/>
  <c r="O304" i="6"/>
  <c r="R307" i="6"/>
  <c r="Q307" i="6"/>
  <c r="R308" i="6"/>
  <c r="Q308" i="6"/>
  <c r="L308" i="6"/>
  <c r="J298" i="6"/>
  <c r="M299" i="6"/>
  <c r="M300" i="6"/>
  <c r="J306" i="6"/>
  <c r="M307" i="6"/>
  <c r="M308" i="6"/>
  <c r="I313" i="6"/>
  <c r="Q315" i="6"/>
  <c r="L318" i="6"/>
  <c r="K318" i="6"/>
  <c r="I317" i="6"/>
  <c r="M317" i="6" s="1"/>
  <c r="L322" i="6"/>
  <c r="K322" i="6"/>
  <c r="I321" i="6"/>
  <c r="H330" i="6"/>
  <c r="K330" i="6" s="1"/>
  <c r="R337" i="6"/>
  <c r="K344" i="6"/>
  <c r="Q346" i="6"/>
  <c r="Q350" i="6"/>
  <c r="L352" i="6"/>
  <c r="K352" i="6"/>
  <c r="I351" i="6"/>
  <c r="L315" i="6"/>
  <c r="K315" i="6"/>
  <c r="R331" i="6"/>
  <c r="Q331" i="6"/>
  <c r="P331" i="6"/>
  <c r="M339" i="6"/>
  <c r="P339" i="6"/>
  <c r="O339" i="6"/>
  <c r="I336" i="6"/>
  <c r="N315" i="6"/>
  <c r="N318" i="6"/>
  <c r="N322" i="6"/>
  <c r="M323" i="6"/>
  <c r="N329" i="6"/>
  <c r="M330" i="6"/>
  <c r="M331" i="6"/>
  <c r="L337" i="6"/>
  <c r="K338" i="6"/>
  <c r="K339" i="6"/>
  <c r="N342" i="6"/>
  <c r="M343" i="6"/>
  <c r="M344" i="6"/>
  <c r="N352" i="6"/>
  <c r="Q353" i="6"/>
  <c r="O315" i="6"/>
  <c r="M319" i="6"/>
  <c r="N323" i="6"/>
  <c r="O329" i="6"/>
  <c r="N330" i="6"/>
  <c r="N331" i="6"/>
  <c r="Q337" i="6"/>
  <c r="O342" i="6"/>
  <c r="N343" i="6"/>
  <c r="N344" i="6"/>
  <c r="I346" i="6"/>
  <c r="J351" i="6"/>
  <c r="M353" i="6"/>
  <c r="O330" i="6"/>
  <c r="O331" i="6"/>
  <c r="O343" i="6"/>
  <c r="O344" i="6"/>
  <c r="AH5" i="5"/>
  <c r="AL14" i="5"/>
  <c r="AD14" i="5"/>
  <c r="AF19" i="5"/>
  <c r="AP19" i="5"/>
  <c r="AE30" i="5"/>
  <c r="AF33" i="5"/>
  <c r="AI33" i="5"/>
  <c r="AJ34" i="5"/>
  <c r="AF34" i="5"/>
  <c r="AI39" i="5"/>
  <c r="AP40" i="5"/>
  <c r="AF42" i="5"/>
  <c r="AI42" i="5"/>
  <c r="AI47" i="5"/>
  <c r="AJ33" i="5"/>
  <c r="AJ42" i="5"/>
  <c r="AI5" i="5"/>
  <c r="AP5" i="5"/>
  <c r="AE14" i="5"/>
  <c r="AG19" i="5"/>
  <c r="AI19" i="5"/>
  <c r="AE33" i="5"/>
  <c r="AD38" i="5"/>
  <c r="AG40" i="5"/>
  <c r="AE42" i="5"/>
  <c r="Z48" i="5"/>
  <c r="AG45" i="5"/>
  <c r="AD46" i="5"/>
  <c r="AJ5" i="5"/>
  <c r="AF5" i="5"/>
  <c r="AQ5" i="5"/>
  <c r="E5" i="5"/>
  <c r="AK12" i="5"/>
  <c r="AJ19" i="5"/>
  <c r="AF26" i="5"/>
  <c r="AG30" i="5"/>
  <c r="AG32" i="5"/>
  <c r="AH33" i="5"/>
  <c r="AL34" i="5"/>
  <c r="AQ34" i="5"/>
  <c r="E34" i="5"/>
  <c r="AH39" i="5"/>
  <c r="AH40" i="5"/>
  <c r="AH42" i="5"/>
  <c r="AL43" i="5"/>
  <c r="AJ45" i="5"/>
  <c r="AH47" i="5"/>
  <c r="AK5" i="5"/>
  <c r="AE12" i="5"/>
  <c r="AD12" i="5"/>
  <c r="AJ14" i="5"/>
  <c r="AF14" i="5"/>
  <c r="AI14" i="5"/>
  <c r="AL19" i="5"/>
  <c r="AK19" i="5"/>
  <c r="E19" i="5"/>
  <c r="AG26" i="5"/>
  <c r="AQ26" i="5"/>
  <c r="H48" i="5"/>
  <c r="H50" i="5" s="1"/>
  <c r="L48" i="5"/>
  <c r="P48" i="5"/>
  <c r="T48" i="5"/>
  <c r="X48" i="5"/>
  <c r="AB48" i="5"/>
  <c r="AS48" i="5"/>
  <c r="AE5" i="5"/>
  <c r="AG5" i="5"/>
  <c r="AD5" i="5"/>
  <c r="AL5" i="5"/>
  <c r="AI12" i="5"/>
  <c r="AH12" i="5"/>
  <c r="AD19" i="5"/>
  <c r="E26" i="5"/>
  <c r="I48" i="5"/>
  <c r="I50" i="5" s="1"/>
  <c r="M48" i="5"/>
  <c r="Q48" i="5"/>
  <c r="Y48" i="5"/>
  <c r="AT48" i="5"/>
  <c r="E48" i="5"/>
  <c r="G48" i="5"/>
  <c r="G50" i="5" s="1"/>
  <c r="K48" i="5"/>
  <c r="O48" i="5"/>
  <c r="S48" i="5"/>
  <c r="AA48" i="5"/>
  <c r="AH32" i="5"/>
  <c r="AJ32" i="5"/>
  <c r="AF32" i="5"/>
  <c r="AI32" i="5"/>
  <c r="D48" i="5"/>
  <c r="J48" i="5"/>
  <c r="N48" i="5"/>
  <c r="R48" i="5"/>
  <c r="V48" i="5"/>
  <c r="AN48" i="5"/>
  <c r="F48" i="5"/>
  <c r="W48" i="5"/>
  <c r="AQ12" i="5"/>
  <c r="AP12" i="5"/>
  <c r="AQ14" i="5"/>
  <c r="AE26" i="5"/>
  <c r="AD26" i="5"/>
  <c r="AK30" i="5"/>
  <c r="AH26" i="5"/>
  <c r="AL26" i="5"/>
  <c r="AP26" i="5"/>
  <c r="AD34" i="5"/>
  <c r="AH34" i="5"/>
  <c r="AP34" i="5"/>
  <c r="AI38" i="5"/>
  <c r="AF39" i="5"/>
  <c r="AJ39" i="5"/>
  <c r="AK40" i="5"/>
  <c r="AD43" i="5"/>
  <c r="AH43" i="5"/>
  <c r="AP43" i="5"/>
  <c r="AD45" i="5"/>
  <c r="AH45" i="5"/>
  <c r="AI46" i="5"/>
  <c r="AF47" i="5"/>
  <c r="AJ47" i="5"/>
  <c r="U48" i="5"/>
  <c r="AC48" i="5"/>
  <c r="AM26" i="5" s="1"/>
  <c r="AO48" i="5"/>
  <c r="AI26" i="5"/>
  <c r="AD30" i="5"/>
  <c r="AD33" i="5"/>
  <c r="AE34" i="5"/>
  <c r="AI34" i="5"/>
  <c r="AM34" i="5"/>
  <c r="AF38" i="5"/>
  <c r="AJ38" i="5"/>
  <c r="AD40" i="5"/>
  <c r="AL40" i="5"/>
  <c r="AD42" i="5"/>
  <c r="AE43" i="5"/>
  <c r="AI43" i="5"/>
  <c r="AM43" i="5"/>
  <c r="AE45" i="5"/>
  <c r="AI45" i="5"/>
  <c r="AF46" i="5"/>
  <c r="AJ46" i="5"/>
  <c r="AG38" i="5"/>
  <c r="AE40" i="5"/>
  <c r="AF43" i="5"/>
  <c r="AJ43" i="5"/>
  <c r="AG46" i="5"/>
  <c r="BR117" i="4"/>
  <c r="BP117" i="4"/>
  <c r="BO117" i="4"/>
  <c r="BM117" i="4"/>
  <c r="BL117" i="4"/>
  <c r="BJ117" i="4"/>
  <c r="BI117" i="4"/>
  <c r="BH117" i="4"/>
  <c r="BE117" i="4"/>
  <c r="BD117" i="4"/>
  <c r="BR116" i="4"/>
  <c r="BP116" i="4"/>
  <c r="BO116" i="4"/>
  <c r="BM116" i="4"/>
  <c r="BL116" i="4"/>
  <c r="BJ116" i="4"/>
  <c r="BI116" i="4"/>
  <c r="BH116" i="4"/>
  <c r="BE116" i="4"/>
  <c r="BD116" i="4"/>
  <c r="BR115" i="4"/>
  <c r="BP115" i="4"/>
  <c r="BO115" i="4"/>
  <c r="BM115" i="4"/>
  <c r="BL115" i="4"/>
  <c r="BJ115" i="4"/>
  <c r="BI115" i="4"/>
  <c r="BH115" i="4"/>
  <c r="BE115" i="4"/>
  <c r="BD115" i="4"/>
  <c r="BR114" i="4"/>
  <c r="BP114" i="4"/>
  <c r="BO114" i="4"/>
  <c r="BM114" i="4"/>
  <c r="BL114" i="4"/>
  <c r="BJ114" i="4"/>
  <c r="BI114" i="4"/>
  <c r="BH114" i="4"/>
  <c r="BE114" i="4"/>
  <c r="BD114" i="4"/>
  <c r="BR113" i="4"/>
  <c r="BP113" i="4"/>
  <c r="BO113" i="4"/>
  <c r="BM113" i="4"/>
  <c r="BL113" i="4"/>
  <c r="BJ113" i="4"/>
  <c r="BI113" i="4"/>
  <c r="BH113" i="4"/>
  <c r="BE113" i="4"/>
  <c r="BD113" i="4"/>
  <c r="BR112" i="4"/>
  <c r="BP112" i="4"/>
  <c r="BO112" i="4"/>
  <c r="BM112" i="4"/>
  <c r="BL112" i="4"/>
  <c r="BJ112" i="4"/>
  <c r="BI112" i="4"/>
  <c r="BH112" i="4"/>
  <c r="BE112" i="4"/>
  <c r="BD112" i="4"/>
  <c r="BQ111" i="4"/>
  <c r="BN111" i="4"/>
  <c r="BR111" i="4" s="1"/>
  <c r="BK111" i="4"/>
  <c r="AX111" i="4"/>
  <c r="AW111" i="4"/>
  <c r="AS111" i="4"/>
  <c r="AR111" i="4"/>
  <c r="AR63" i="4" s="1"/>
  <c r="AQ111" i="4"/>
  <c r="AP111" i="4"/>
  <c r="AO111" i="4"/>
  <c r="AN111" i="4"/>
  <c r="AN63" i="4" s="1"/>
  <c r="AM111" i="4"/>
  <c r="AL111" i="4"/>
  <c r="AK111" i="4"/>
  <c r="AJ111" i="4"/>
  <c r="AJ63" i="4" s="1"/>
  <c r="AI111" i="4"/>
  <c r="AH111" i="4"/>
  <c r="AG111" i="4"/>
  <c r="AF111" i="4"/>
  <c r="AF63" i="4" s="1"/>
  <c r="AE111" i="4"/>
  <c r="AD111" i="4"/>
  <c r="AC111" i="4"/>
  <c r="AB111" i="4"/>
  <c r="AB63" i="4" s="1"/>
  <c r="AA111" i="4"/>
  <c r="Z111" i="4"/>
  <c r="Y111" i="4"/>
  <c r="X111" i="4"/>
  <c r="X63" i="4" s="1"/>
  <c r="W111" i="4"/>
  <c r="V111" i="4"/>
  <c r="U111" i="4"/>
  <c r="T111" i="4"/>
  <c r="T63" i="4" s="1"/>
  <c r="S111" i="4"/>
  <c r="R111" i="4"/>
  <c r="Q111" i="4"/>
  <c r="P111" i="4"/>
  <c r="P63" i="4" s="1"/>
  <c r="O111" i="4"/>
  <c r="N111" i="4"/>
  <c r="M111" i="4"/>
  <c r="L111" i="4"/>
  <c r="L63" i="4" s="1"/>
  <c r="K111" i="4"/>
  <c r="J111" i="4"/>
  <c r="I111" i="4"/>
  <c r="H111" i="4"/>
  <c r="G111" i="4"/>
  <c r="F111" i="4"/>
  <c r="E111" i="4"/>
  <c r="D111" i="4"/>
  <c r="C111" i="4"/>
  <c r="BR110" i="4"/>
  <c r="BP110" i="4"/>
  <c r="BO110" i="4"/>
  <c r="BM110" i="4"/>
  <c r="BL110" i="4"/>
  <c r="BJ110" i="4"/>
  <c r="BI110" i="4"/>
  <c r="BH110" i="4"/>
  <c r="BE110" i="4"/>
  <c r="BD110" i="4"/>
  <c r="BR109" i="4"/>
  <c r="BP109" i="4"/>
  <c r="BO109" i="4"/>
  <c r="BM109" i="4"/>
  <c r="BL109" i="4"/>
  <c r="BJ109" i="4"/>
  <c r="BI109" i="4"/>
  <c r="BH109" i="4"/>
  <c r="BE109" i="4"/>
  <c r="BD109" i="4"/>
  <c r="BR108" i="4"/>
  <c r="BP108" i="4"/>
  <c r="BO108" i="4"/>
  <c r="BM108" i="4"/>
  <c r="BL108" i="4"/>
  <c r="BJ108" i="4"/>
  <c r="BI108" i="4"/>
  <c r="BH108" i="4"/>
  <c r="BE108" i="4"/>
  <c r="BD108" i="4"/>
  <c r="BR107" i="4"/>
  <c r="BP107" i="4"/>
  <c r="BO107" i="4"/>
  <c r="BM107" i="4"/>
  <c r="BL107" i="4"/>
  <c r="BJ107" i="4"/>
  <c r="BI107" i="4"/>
  <c r="BH107" i="4"/>
  <c r="BE107" i="4"/>
  <c r="BD107" i="4"/>
  <c r="BR106" i="4"/>
  <c r="BP106" i="4"/>
  <c r="BO106" i="4"/>
  <c r="BM106" i="4"/>
  <c r="BL106" i="4"/>
  <c r="BJ106" i="4"/>
  <c r="BI106" i="4"/>
  <c r="BE106" i="4"/>
  <c r="BD106" i="4"/>
  <c r="AT106" i="4"/>
  <c r="BH106" i="4" s="1"/>
  <c r="AS106" i="4"/>
  <c r="BR105" i="4"/>
  <c r="BP105" i="4"/>
  <c r="BO105" i="4"/>
  <c r="BM105" i="4"/>
  <c r="BL105" i="4"/>
  <c r="BJ105" i="4"/>
  <c r="BI105" i="4"/>
  <c r="BH105" i="4"/>
  <c r="BE105" i="4"/>
  <c r="BD105" i="4"/>
  <c r="BR104" i="4"/>
  <c r="BP104" i="4"/>
  <c r="BO104" i="4"/>
  <c r="BM104" i="4"/>
  <c r="BL104" i="4"/>
  <c r="BJ104" i="4"/>
  <c r="BI104" i="4"/>
  <c r="BE104" i="4"/>
  <c r="BD104" i="4"/>
  <c r="AT104" i="4"/>
  <c r="BH104" i="4" s="1"/>
  <c r="AS104" i="4"/>
  <c r="AR104" i="4"/>
  <c r="AM104" i="4"/>
  <c r="AL104" i="4"/>
  <c r="BR103" i="4"/>
  <c r="BP103" i="4"/>
  <c r="BO103" i="4"/>
  <c r="BM103" i="4"/>
  <c r="BL103" i="4"/>
  <c r="BJ103" i="4"/>
  <c r="BI103" i="4"/>
  <c r="BH103" i="4"/>
  <c r="BE103" i="4"/>
  <c r="BD103" i="4"/>
  <c r="BR102" i="4"/>
  <c r="BP102" i="4"/>
  <c r="BO102" i="4"/>
  <c r="BM102" i="4"/>
  <c r="BL102" i="4"/>
  <c r="BJ102" i="4"/>
  <c r="BI102" i="4"/>
  <c r="BH102" i="4"/>
  <c r="BE102" i="4"/>
  <c r="BD102" i="4"/>
  <c r="BR101" i="4"/>
  <c r="BP101" i="4"/>
  <c r="BO101" i="4"/>
  <c r="BM101" i="4"/>
  <c r="BL101" i="4"/>
  <c r="BJ101" i="4"/>
  <c r="BI101" i="4"/>
  <c r="BH101" i="4"/>
  <c r="BE101" i="4"/>
  <c r="BD101" i="4"/>
  <c r="BR100" i="4"/>
  <c r="BP100" i="4"/>
  <c r="BO100" i="4"/>
  <c r="BM100" i="4"/>
  <c r="BL100" i="4"/>
  <c r="BJ100" i="4"/>
  <c r="BI100" i="4"/>
  <c r="BH100" i="4"/>
  <c r="BE100" i="4"/>
  <c r="BD100" i="4"/>
  <c r="BR99" i="4"/>
  <c r="BP99" i="4"/>
  <c r="BO99" i="4"/>
  <c r="BM99" i="4"/>
  <c r="BL99" i="4"/>
  <c r="BJ99" i="4"/>
  <c r="BI99" i="4"/>
  <c r="BH99" i="4"/>
  <c r="BE99" i="4"/>
  <c r="BD99" i="4"/>
  <c r="BR98" i="4"/>
  <c r="BP98" i="4"/>
  <c r="BO98" i="4"/>
  <c r="BM98" i="4"/>
  <c r="BL98" i="4"/>
  <c r="BJ98" i="4"/>
  <c r="BI98" i="4"/>
  <c r="BH98" i="4"/>
  <c r="BE98" i="4"/>
  <c r="BD98" i="4"/>
  <c r="AG98" i="4"/>
  <c r="AF98" i="4"/>
  <c r="BR97" i="4"/>
  <c r="BP97" i="4"/>
  <c r="BO97" i="4"/>
  <c r="BM97" i="4"/>
  <c r="BL97" i="4"/>
  <c r="BJ97" i="4"/>
  <c r="BI97" i="4"/>
  <c r="BH97" i="4"/>
  <c r="BE97" i="4"/>
  <c r="BD97" i="4"/>
  <c r="BR96" i="4"/>
  <c r="BP96" i="4"/>
  <c r="BO96" i="4"/>
  <c r="BM96" i="4"/>
  <c r="BL96" i="4"/>
  <c r="BJ96" i="4"/>
  <c r="BI96" i="4"/>
  <c r="BH96" i="4"/>
  <c r="BE96" i="4"/>
  <c r="BD96" i="4"/>
  <c r="U96" i="4"/>
  <c r="T96" i="4"/>
  <c r="BR95" i="4"/>
  <c r="BP95" i="4"/>
  <c r="BO95" i="4"/>
  <c r="BM95" i="4"/>
  <c r="BL95" i="4"/>
  <c r="BJ95" i="4"/>
  <c r="BI95" i="4"/>
  <c r="BH95" i="4"/>
  <c r="BE95" i="4"/>
  <c r="BD95" i="4"/>
  <c r="AC95" i="4"/>
  <c r="AB95" i="4"/>
  <c r="Y95" i="4"/>
  <c r="X95" i="4"/>
  <c r="Q95" i="4"/>
  <c r="P95" i="4"/>
  <c r="BR94" i="4"/>
  <c r="BP94" i="4"/>
  <c r="BO94" i="4"/>
  <c r="BM94" i="4"/>
  <c r="BL94" i="4"/>
  <c r="BJ94" i="4"/>
  <c r="BI94" i="4"/>
  <c r="BH94" i="4"/>
  <c r="BE94" i="4"/>
  <c r="BD94" i="4"/>
  <c r="BB94" i="4"/>
  <c r="J94" i="4"/>
  <c r="H94" i="4"/>
  <c r="F94" i="4"/>
  <c r="BR93" i="4"/>
  <c r="BP93" i="4"/>
  <c r="BO93" i="4"/>
  <c r="BM93" i="4"/>
  <c r="BL93" i="4"/>
  <c r="BJ93" i="4"/>
  <c r="BI93" i="4"/>
  <c r="BE93" i="4"/>
  <c r="BD93" i="4"/>
  <c r="AT93" i="4"/>
  <c r="BH93" i="4" s="1"/>
  <c r="AS93" i="4"/>
  <c r="AR93" i="4"/>
  <c r="AM93" i="4"/>
  <c r="AL93" i="4"/>
  <c r="BR92" i="4"/>
  <c r="BP92" i="4"/>
  <c r="BO92" i="4"/>
  <c r="BM92" i="4"/>
  <c r="BF92" i="4"/>
  <c r="BC92" i="4"/>
  <c r="BB92" i="4"/>
  <c r="AG92" i="4"/>
  <c r="AF92" i="4"/>
  <c r="AC92" i="4"/>
  <c r="AB92" i="4"/>
  <c r="BR91" i="4"/>
  <c r="BP91" i="4"/>
  <c r="BO91" i="4"/>
  <c r="BM91" i="4"/>
  <c r="BF91" i="4"/>
  <c r="BL91" i="4" s="1"/>
  <c r="BD91" i="4"/>
  <c r="BC91" i="4"/>
  <c r="BE91" i="4" s="1"/>
  <c r="BB91" i="4"/>
  <c r="AT91" i="4"/>
  <c r="AS91" i="4"/>
  <c r="AR91" i="4"/>
  <c r="M91" i="4"/>
  <c r="L91" i="4"/>
  <c r="F91" i="4"/>
  <c r="E91" i="4"/>
  <c r="BR90" i="4"/>
  <c r="BP90" i="4"/>
  <c r="BO90" i="4"/>
  <c r="BM90" i="4"/>
  <c r="BF90" i="4"/>
  <c r="BL90" i="4" s="1"/>
  <c r="BC90" i="4"/>
  <c r="BB90" i="4"/>
  <c r="AC90" i="4"/>
  <c r="AB90" i="4"/>
  <c r="Y90" i="4"/>
  <c r="X90" i="4"/>
  <c r="U90" i="4"/>
  <c r="T90" i="4"/>
  <c r="Q90" i="4"/>
  <c r="P90" i="4"/>
  <c r="O90" i="4"/>
  <c r="M90" i="4"/>
  <c r="L90" i="4"/>
  <c r="K90" i="4"/>
  <c r="J90" i="4"/>
  <c r="H90" i="4"/>
  <c r="BR89" i="4"/>
  <c r="BP89" i="4"/>
  <c r="BO89" i="4"/>
  <c r="BM89" i="4"/>
  <c r="BL89" i="4"/>
  <c r="BJ89" i="4"/>
  <c r="BI89" i="4"/>
  <c r="BH89" i="4"/>
  <c r="BE89" i="4"/>
  <c r="BD89" i="4"/>
  <c r="Y89" i="4"/>
  <c r="X89" i="4"/>
  <c r="U89" i="4"/>
  <c r="T89" i="4"/>
  <c r="BR88" i="4"/>
  <c r="BP88" i="4"/>
  <c r="BO88" i="4"/>
  <c r="BM88" i="4"/>
  <c r="BL88" i="4"/>
  <c r="BI88" i="4"/>
  <c r="BH88" i="4"/>
  <c r="BC88" i="4"/>
  <c r="BE88" i="4" s="1"/>
  <c r="BB88" i="4"/>
  <c r="BR87" i="4"/>
  <c r="BP87" i="4"/>
  <c r="BO87" i="4"/>
  <c r="BM87" i="4"/>
  <c r="BL87" i="4"/>
  <c r="BJ87" i="4"/>
  <c r="BI87" i="4"/>
  <c r="BH87" i="4"/>
  <c r="BE87" i="4"/>
  <c r="BD87" i="4"/>
  <c r="AT87" i="4"/>
  <c r="AS87" i="4"/>
  <c r="AR87" i="4"/>
  <c r="U87" i="4"/>
  <c r="T87" i="4"/>
  <c r="S87" i="4"/>
  <c r="Q87" i="4"/>
  <c r="P87" i="4"/>
  <c r="BL86" i="4"/>
  <c r="BI86" i="4"/>
  <c r="BH86" i="4"/>
  <c r="BC86" i="4"/>
  <c r="BR85" i="4"/>
  <c r="BP85" i="4"/>
  <c r="BO85" i="4"/>
  <c r="BM85" i="4"/>
  <c r="BL85" i="4"/>
  <c r="BJ85" i="4"/>
  <c r="BI85" i="4"/>
  <c r="BH85" i="4"/>
  <c r="BE85" i="4"/>
  <c r="BD85" i="4"/>
  <c r="BR84" i="4"/>
  <c r="BP84" i="4"/>
  <c r="BO84" i="4"/>
  <c r="BM84" i="4"/>
  <c r="BL84" i="4"/>
  <c r="BJ84" i="4"/>
  <c r="BI84" i="4"/>
  <c r="BH84" i="4"/>
  <c r="BE84" i="4"/>
  <c r="BD84" i="4"/>
  <c r="BR83" i="4"/>
  <c r="BP83" i="4"/>
  <c r="BO83" i="4"/>
  <c r="BM83" i="4"/>
  <c r="BL83" i="4"/>
  <c r="BJ83" i="4"/>
  <c r="BI83" i="4"/>
  <c r="BH83" i="4"/>
  <c r="BE83" i="4"/>
  <c r="BD83" i="4"/>
  <c r="BQ82" i="4"/>
  <c r="BN82" i="4"/>
  <c r="BR82" i="4" s="1"/>
  <c r="BK82" i="4"/>
  <c r="BM82" i="4" s="1"/>
  <c r="BG82" i="4"/>
  <c r="BF82" i="4"/>
  <c r="BB82" i="4"/>
  <c r="AZ82" i="4"/>
  <c r="AY82" i="4"/>
  <c r="AX82" i="4"/>
  <c r="AW82" i="4"/>
  <c r="AV82" i="4"/>
  <c r="AU82" i="4"/>
  <c r="AT82" i="4"/>
  <c r="AS82" i="4"/>
  <c r="AR82" i="4"/>
  <c r="AQ82" i="4"/>
  <c r="AP82" i="4"/>
  <c r="AO82" i="4"/>
  <c r="AN82" i="4"/>
  <c r="AM82" i="4"/>
  <c r="AL82" i="4"/>
  <c r="AK82" i="4"/>
  <c r="AJ82" i="4"/>
  <c r="AI82" i="4"/>
  <c r="AH82" i="4"/>
  <c r="AG82" i="4"/>
  <c r="AF82" i="4"/>
  <c r="AE82" i="4"/>
  <c r="AD82" i="4"/>
  <c r="AC82" i="4"/>
  <c r="AB82" i="4"/>
  <c r="AA82" i="4"/>
  <c r="Z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I82" i="4"/>
  <c r="H82" i="4"/>
  <c r="G82" i="4"/>
  <c r="F82" i="4"/>
  <c r="E82" i="4"/>
  <c r="D82" i="4"/>
  <c r="C82" i="4"/>
  <c r="BR81" i="4"/>
  <c r="BP81" i="4"/>
  <c r="BO81" i="4"/>
  <c r="BM81" i="4"/>
  <c r="BL81" i="4"/>
  <c r="BJ81" i="4"/>
  <c r="BI81" i="4"/>
  <c r="BH81" i="4"/>
  <c r="BE81" i="4"/>
  <c r="BD81" i="4"/>
  <c r="BR80" i="4"/>
  <c r="BP80" i="4"/>
  <c r="BO80" i="4"/>
  <c r="BM80" i="4"/>
  <c r="BL80" i="4"/>
  <c r="BJ80" i="4"/>
  <c r="BI80" i="4"/>
  <c r="BH80" i="4"/>
  <c r="BE80" i="4"/>
  <c r="BD80" i="4"/>
  <c r="BR79" i="4"/>
  <c r="BP79" i="4"/>
  <c r="BO79" i="4"/>
  <c r="BM79" i="4"/>
  <c r="BL79" i="4"/>
  <c r="BJ79" i="4"/>
  <c r="BI79" i="4"/>
  <c r="BH79" i="4"/>
  <c r="BE79" i="4"/>
  <c r="BD79" i="4"/>
  <c r="BQ78" i="4"/>
  <c r="BN78" i="4"/>
  <c r="BK78" i="4"/>
  <c r="BM78" i="4" s="1"/>
  <c r="BG78" i="4"/>
  <c r="BF78" i="4"/>
  <c r="BC78" i="4"/>
  <c r="AX78" i="4"/>
  <c r="AW78" i="4"/>
  <c r="AV78" i="4"/>
  <c r="AU78" i="4"/>
  <c r="AT78" i="4"/>
  <c r="AS78" i="4"/>
  <c r="AR78" i="4"/>
  <c r="AQ78" i="4"/>
  <c r="AP78" i="4"/>
  <c r="AO78" i="4"/>
  <c r="AN78" i="4"/>
  <c r="AM78" i="4"/>
  <c r="AL78" i="4"/>
  <c r="AK78" i="4"/>
  <c r="AJ78" i="4"/>
  <c r="AI78" i="4"/>
  <c r="AH78" i="4"/>
  <c r="AG78" i="4"/>
  <c r="AF78" i="4"/>
  <c r="AE78" i="4"/>
  <c r="AD78" i="4"/>
  <c r="AC78" i="4"/>
  <c r="AB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R77" i="4"/>
  <c r="BP77" i="4"/>
  <c r="BO77" i="4"/>
  <c r="BM77" i="4"/>
  <c r="BL77" i="4"/>
  <c r="BJ77" i="4"/>
  <c r="BI77" i="4"/>
  <c r="BH77" i="4"/>
  <c r="BE77" i="4"/>
  <c r="BD77" i="4"/>
  <c r="F77" i="4"/>
  <c r="E77" i="4"/>
  <c r="BR76" i="4"/>
  <c r="BP76" i="4"/>
  <c r="BO76" i="4"/>
  <c r="BM76" i="4"/>
  <c r="BL76" i="4"/>
  <c r="BJ76" i="4"/>
  <c r="BI76" i="4"/>
  <c r="BH76" i="4"/>
  <c r="BE76" i="4"/>
  <c r="BD76" i="4"/>
  <c r="BR75" i="4"/>
  <c r="BP75" i="4"/>
  <c r="BO75" i="4"/>
  <c r="BM75" i="4"/>
  <c r="BL75" i="4"/>
  <c r="BJ75" i="4"/>
  <c r="BI75" i="4"/>
  <c r="BH75" i="4"/>
  <c r="BE75" i="4"/>
  <c r="BD75" i="4"/>
  <c r="BR74" i="4"/>
  <c r="BP74" i="4"/>
  <c r="BO74" i="4"/>
  <c r="BM74" i="4"/>
  <c r="BL74" i="4"/>
  <c r="BJ74" i="4"/>
  <c r="BI74" i="4"/>
  <c r="BH74" i="4"/>
  <c r="BE74" i="4"/>
  <c r="BD74" i="4"/>
  <c r="F74" i="4"/>
  <c r="E74" i="4"/>
  <c r="BR73" i="4"/>
  <c r="BQ73" i="4"/>
  <c r="BP73" i="4"/>
  <c r="BO73" i="4"/>
  <c r="BM73" i="4"/>
  <c r="BL73" i="4"/>
  <c r="BJ73" i="4"/>
  <c r="BI73" i="4"/>
  <c r="BH73" i="4"/>
  <c r="BE73" i="4"/>
  <c r="BD73" i="4"/>
  <c r="BR72" i="4"/>
  <c r="BP72" i="4"/>
  <c r="BO72" i="4"/>
  <c r="BM72" i="4"/>
  <c r="BL72" i="4"/>
  <c r="BJ72" i="4"/>
  <c r="BI72" i="4"/>
  <c r="BH72" i="4"/>
  <c r="BE72" i="4"/>
  <c r="BD72" i="4"/>
  <c r="BR71" i="4"/>
  <c r="BP71" i="4"/>
  <c r="BO71" i="4"/>
  <c r="BM71" i="4"/>
  <c r="BL71" i="4"/>
  <c r="BJ71" i="4"/>
  <c r="BI71" i="4"/>
  <c r="BH71" i="4"/>
  <c r="BE71" i="4"/>
  <c r="BD71" i="4"/>
  <c r="BR70" i="4"/>
  <c r="BP70" i="4"/>
  <c r="BO70" i="4"/>
  <c r="BM70" i="4"/>
  <c r="BL70" i="4"/>
  <c r="BJ70" i="4"/>
  <c r="BI70" i="4"/>
  <c r="BH70" i="4"/>
  <c r="BE70" i="4"/>
  <c r="BD70" i="4"/>
  <c r="BQ69" i="4"/>
  <c r="BR69" i="4" s="1"/>
  <c r="BN69" i="4"/>
  <c r="BK69" i="4"/>
  <c r="BL69" i="4" s="1"/>
  <c r="BG69" i="4"/>
  <c r="BF69" i="4"/>
  <c r="BJ69" i="4" s="1"/>
  <c r="AZ69" i="4"/>
  <c r="AY69" i="4"/>
  <c r="AX69" i="4"/>
  <c r="AW69" i="4"/>
  <c r="AV69" i="4"/>
  <c r="BD69" i="4" s="1"/>
  <c r="AU69" i="4"/>
  <c r="AT69" i="4"/>
  <c r="AS69" i="4"/>
  <c r="AR69" i="4"/>
  <c r="AQ69" i="4"/>
  <c r="AP69" i="4"/>
  <c r="AO69" i="4"/>
  <c r="AN69" i="4"/>
  <c r="AM69" i="4"/>
  <c r="AL69" i="4"/>
  <c r="J69" i="4"/>
  <c r="I69" i="4"/>
  <c r="H69" i="4"/>
  <c r="H65" i="4" s="1"/>
  <c r="H63" i="4" s="1"/>
  <c r="G69" i="4"/>
  <c r="F69" i="4"/>
  <c r="E69" i="4"/>
  <c r="D69" i="4"/>
  <c r="D65" i="4" s="1"/>
  <c r="D63" i="4" s="1"/>
  <c r="C69" i="4"/>
  <c r="BR68" i="4"/>
  <c r="BP68" i="4"/>
  <c r="BO68" i="4"/>
  <c r="BM68" i="4"/>
  <c r="BL68" i="4"/>
  <c r="BJ68" i="4"/>
  <c r="BI68" i="4"/>
  <c r="BH68" i="4"/>
  <c r="BE68" i="4"/>
  <c r="BD68" i="4"/>
  <c r="BR67" i="4"/>
  <c r="BP67" i="4"/>
  <c r="BO67" i="4"/>
  <c r="BM67" i="4"/>
  <c r="BL67" i="4"/>
  <c r="BJ67" i="4"/>
  <c r="BI67" i="4"/>
  <c r="BH67" i="4"/>
  <c r="BE67" i="4"/>
  <c r="BD67" i="4"/>
  <c r="BQ66" i="4"/>
  <c r="BR66" i="4" s="1"/>
  <c r="BN66" i="4"/>
  <c r="BK66" i="4"/>
  <c r="BG66" i="4"/>
  <c r="BF66" i="4"/>
  <c r="BJ66" i="4" s="1"/>
  <c r="AZ66" i="4"/>
  <c r="AY66" i="4"/>
  <c r="AY65" i="4" s="1"/>
  <c r="AY63" i="4" s="1"/>
  <c r="AX66" i="4"/>
  <c r="AW66" i="4"/>
  <c r="AV66" i="4"/>
  <c r="BD66" i="4" s="1"/>
  <c r="AU66" i="4"/>
  <c r="AU65" i="4" s="1"/>
  <c r="AU63" i="4" s="1"/>
  <c r="AT66" i="4"/>
  <c r="AS66" i="4"/>
  <c r="AR66" i="4"/>
  <c r="AQ66" i="4"/>
  <c r="AQ65" i="4" s="1"/>
  <c r="AP66" i="4"/>
  <c r="AO66" i="4"/>
  <c r="AN66" i="4"/>
  <c r="AM66" i="4"/>
  <c r="AM65" i="4" s="1"/>
  <c r="AM63" i="4" s="1"/>
  <c r="AL66" i="4"/>
  <c r="AK66" i="4"/>
  <c r="AJ66" i="4"/>
  <c r="AI66" i="4"/>
  <c r="AI65" i="4" s="1"/>
  <c r="AH66" i="4"/>
  <c r="AG66" i="4"/>
  <c r="AF66" i="4"/>
  <c r="AE66" i="4"/>
  <c r="AE65" i="4" s="1"/>
  <c r="AE63" i="4" s="1"/>
  <c r="AD66" i="4"/>
  <c r="AC66" i="4"/>
  <c r="AB66" i="4"/>
  <c r="AA66" i="4"/>
  <c r="AA65" i="4" s="1"/>
  <c r="Z66" i="4"/>
  <c r="Y66" i="4"/>
  <c r="X66" i="4"/>
  <c r="W66" i="4"/>
  <c r="W65" i="4" s="1"/>
  <c r="W63" i="4" s="1"/>
  <c r="V66" i="4"/>
  <c r="U66" i="4"/>
  <c r="T66" i="4"/>
  <c r="S66" i="4"/>
  <c r="S65" i="4" s="1"/>
  <c r="R66" i="4"/>
  <c r="Q66" i="4"/>
  <c r="P66" i="4"/>
  <c r="O66" i="4"/>
  <c r="O65" i="4" s="1"/>
  <c r="O63" i="4" s="1"/>
  <c r="N66" i="4"/>
  <c r="M66" i="4"/>
  <c r="L66" i="4"/>
  <c r="K66" i="4"/>
  <c r="K65" i="4" s="1"/>
  <c r="J66" i="4"/>
  <c r="I66" i="4"/>
  <c r="H66" i="4"/>
  <c r="G66" i="4"/>
  <c r="G65" i="4" s="1"/>
  <c r="G63" i="4" s="1"/>
  <c r="F66" i="4"/>
  <c r="E66" i="4"/>
  <c r="D66" i="4"/>
  <c r="C66" i="4"/>
  <c r="C65" i="4" s="1"/>
  <c r="BQ65" i="4"/>
  <c r="BG65" i="4"/>
  <c r="BG63" i="4" s="1"/>
  <c r="BF65" i="4"/>
  <c r="BB65" i="4"/>
  <c r="BA65" i="4"/>
  <c r="BA63" i="4" s="1"/>
  <c r="AZ65" i="4"/>
  <c r="AX65" i="4"/>
  <c r="AW65" i="4"/>
  <c r="AW63" i="4" s="1"/>
  <c r="AV65" i="4"/>
  <c r="AT65" i="4"/>
  <c r="AS65" i="4"/>
  <c r="AS63" i="4" s="1"/>
  <c r="AR65" i="4"/>
  <c r="AP65" i="4"/>
  <c r="AO65" i="4"/>
  <c r="AO63" i="4" s="1"/>
  <c r="AN65" i="4"/>
  <c r="AL65" i="4"/>
  <c r="AK65" i="4"/>
  <c r="AK63" i="4" s="1"/>
  <c r="AJ65" i="4"/>
  <c r="AH65" i="4"/>
  <c r="AG65" i="4"/>
  <c r="AG63" i="4" s="1"/>
  <c r="AF65" i="4"/>
  <c r="AD65" i="4"/>
  <c r="AC65" i="4"/>
  <c r="AC63" i="4" s="1"/>
  <c r="AB65" i="4"/>
  <c r="Z65" i="4"/>
  <c r="Y65" i="4"/>
  <c r="Y63" i="4" s="1"/>
  <c r="X65" i="4"/>
  <c r="V65" i="4"/>
  <c r="U65" i="4"/>
  <c r="U63" i="4" s="1"/>
  <c r="T65" i="4"/>
  <c r="R65" i="4"/>
  <c r="Q65" i="4"/>
  <c r="Q63" i="4" s="1"/>
  <c r="P65" i="4"/>
  <c r="N65" i="4"/>
  <c r="M65" i="4"/>
  <c r="M63" i="4" s="1"/>
  <c r="L65" i="4"/>
  <c r="J65" i="4"/>
  <c r="I65" i="4"/>
  <c r="I63" i="4" s="1"/>
  <c r="F65" i="4"/>
  <c r="E65" i="4"/>
  <c r="E63" i="4" s="1"/>
  <c r="BQ63" i="4"/>
  <c r="BF63" i="4"/>
  <c r="BB63" i="4"/>
  <c r="AZ63" i="4"/>
  <c r="AX63" i="4"/>
  <c r="AV63" i="4"/>
  <c r="AT63" i="4"/>
  <c r="AQ63" i="4"/>
  <c r="AP63" i="4"/>
  <c r="AL63" i="4"/>
  <c r="AI63" i="4"/>
  <c r="AH63" i="4"/>
  <c r="AD63" i="4"/>
  <c r="AA63" i="4"/>
  <c r="Z63" i="4"/>
  <c r="V63" i="4"/>
  <c r="S63" i="4"/>
  <c r="R63" i="4"/>
  <c r="N63" i="4"/>
  <c r="K63" i="4"/>
  <c r="J63" i="4"/>
  <c r="F63" i="4"/>
  <c r="C63" i="4"/>
  <c r="BR62" i="4"/>
  <c r="BP62" i="4"/>
  <c r="BO62" i="4"/>
  <c r="BM62" i="4"/>
  <c r="BL62" i="4"/>
  <c r="AC62" i="4"/>
  <c r="Z62" i="4"/>
  <c r="BR61" i="4"/>
  <c r="BP61" i="4"/>
  <c r="BO61" i="4"/>
  <c r="BM61" i="4"/>
  <c r="BL61" i="4"/>
  <c r="BJ61" i="4"/>
  <c r="BI61" i="4"/>
  <c r="BH61" i="4"/>
  <c r="BE61" i="4"/>
  <c r="BD61" i="4"/>
  <c r="BR60" i="4"/>
  <c r="BP60" i="4"/>
  <c r="BO60" i="4"/>
  <c r="BM60" i="4"/>
  <c r="BL60" i="4"/>
  <c r="BJ60" i="4"/>
  <c r="BI60" i="4"/>
  <c r="BH60" i="4"/>
  <c r="BE60" i="4"/>
  <c r="BD60" i="4"/>
  <c r="BR59" i="4"/>
  <c r="BP59" i="4"/>
  <c r="BO59" i="4"/>
  <c r="BM59" i="4"/>
  <c r="BL59" i="4"/>
  <c r="BJ59" i="4"/>
  <c r="BI59" i="4"/>
  <c r="BH59" i="4"/>
  <c r="BE59" i="4"/>
  <c r="BD59" i="4"/>
  <c r="BR58" i="4"/>
  <c r="BP58" i="4"/>
  <c r="BO58" i="4"/>
  <c r="BM58" i="4"/>
  <c r="BL58" i="4"/>
  <c r="BJ58" i="4"/>
  <c r="BI58" i="4"/>
  <c r="BH58" i="4"/>
  <c r="BE58" i="4"/>
  <c r="BD58" i="4"/>
  <c r="BR57" i="4"/>
  <c r="BP57" i="4"/>
  <c r="BO57" i="4"/>
  <c r="BM57" i="4"/>
  <c r="BL57" i="4"/>
  <c r="BJ57" i="4"/>
  <c r="BI57" i="4"/>
  <c r="BH57" i="4"/>
  <c r="BE57" i="4"/>
  <c r="BD57" i="4"/>
  <c r="BR56" i="4"/>
  <c r="BP56" i="4"/>
  <c r="BO56" i="4"/>
  <c r="BM56" i="4"/>
  <c r="BL56" i="4"/>
  <c r="BJ56" i="4"/>
  <c r="BI56" i="4"/>
  <c r="BH56" i="4"/>
  <c r="BG56" i="4"/>
  <c r="BE56" i="4"/>
  <c r="BD56" i="4"/>
  <c r="F56" i="4"/>
  <c r="F53" i="4" s="1"/>
  <c r="F34" i="4" s="1"/>
  <c r="E56" i="4"/>
  <c r="BR55" i="4"/>
  <c r="BP55" i="4"/>
  <c r="BO55" i="4"/>
  <c r="BM55" i="4"/>
  <c r="BL55" i="4"/>
  <c r="BJ55" i="4"/>
  <c r="BI55" i="4"/>
  <c r="BH55" i="4"/>
  <c r="BE55" i="4"/>
  <c r="BD55" i="4"/>
  <c r="BR54" i="4"/>
  <c r="BP54" i="4"/>
  <c r="BO54" i="4"/>
  <c r="BM54" i="4"/>
  <c r="BL54" i="4"/>
  <c r="BJ54" i="4"/>
  <c r="BI54" i="4"/>
  <c r="BH54" i="4"/>
  <c r="BE54" i="4"/>
  <c r="BD54" i="4"/>
  <c r="BR53" i="4"/>
  <c r="BP53" i="4"/>
  <c r="BO53" i="4"/>
  <c r="BM53" i="4"/>
  <c r="BG53" i="4"/>
  <c r="BF53" i="4"/>
  <c r="BL53" i="4" s="1"/>
  <c r="BC53" i="4"/>
  <c r="BD53" i="4" s="1"/>
  <c r="AU53" i="4"/>
  <c r="AT53" i="4"/>
  <c r="AS53" i="4"/>
  <c r="AR53" i="4"/>
  <c r="AN53" i="4"/>
  <c r="AM53" i="4"/>
  <c r="AL53" i="4"/>
  <c r="AH53" i="4"/>
  <c r="AG53" i="4"/>
  <c r="AF53" i="4"/>
  <c r="AD53" i="4"/>
  <c r="AC53" i="4"/>
  <c r="AB53" i="4"/>
  <c r="Z53" i="4"/>
  <c r="Y53" i="4"/>
  <c r="X53" i="4"/>
  <c r="N53" i="4"/>
  <c r="M53" i="4"/>
  <c r="L53" i="4"/>
  <c r="K53" i="4"/>
  <c r="J53" i="4"/>
  <c r="I53" i="4"/>
  <c r="H53" i="4"/>
  <c r="G53" i="4"/>
  <c r="E53" i="4"/>
  <c r="D53" i="4"/>
  <c r="C53" i="4"/>
  <c r="BR52" i="4"/>
  <c r="BP52" i="4"/>
  <c r="BO52" i="4"/>
  <c r="BM52" i="4"/>
  <c r="BL52" i="4"/>
  <c r="BJ52" i="4"/>
  <c r="BI52" i="4"/>
  <c r="BH52" i="4"/>
  <c r="BE52" i="4"/>
  <c r="BD52" i="4"/>
  <c r="AU52" i="4"/>
  <c r="BR51" i="4"/>
  <c r="BP51" i="4"/>
  <c r="BO51" i="4"/>
  <c r="BM51" i="4"/>
  <c r="BL51" i="4"/>
  <c r="BJ51" i="4"/>
  <c r="BI51" i="4"/>
  <c r="BH51" i="4"/>
  <c r="BE51" i="4"/>
  <c r="BD51" i="4"/>
  <c r="AU51" i="4"/>
  <c r="BR50" i="4"/>
  <c r="BP50" i="4"/>
  <c r="BO50" i="4"/>
  <c r="BM50" i="4"/>
  <c r="BL50" i="4"/>
  <c r="BJ50" i="4"/>
  <c r="BI50" i="4"/>
  <c r="BH50" i="4"/>
  <c r="BE50" i="4"/>
  <c r="BD50" i="4"/>
  <c r="N50" i="4"/>
  <c r="BR49" i="4"/>
  <c r="BP49" i="4"/>
  <c r="BO49" i="4"/>
  <c r="BM49" i="4"/>
  <c r="BL49" i="4"/>
  <c r="BJ49" i="4"/>
  <c r="BI49" i="4"/>
  <c r="BH49" i="4"/>
  <c r="BE49" i="4"/>
  <c r="BD49" i="4"/>
  <c r="AU49" i="4"/>
  <c r="Z49" i="4"/>
  <c r="V49" i="4"/>
  <c r="U49" i="4"/>
  <c r="R49" i="4"/>
  <c r="N49" i="4"/>
  <c r="BQ48" i="4"/>
  <c r="BN48" i="4"/>
  <c r="BK48" i="4"/>
  <c r="BF48" i="4"/>
  <c r="BC48" i="4"/>
  <c r="BD48" i="4" s="1"/>
  <c r="AX48" i="4"/>
  <c r="AW48" i="4"/>
  <c r="AV48" i="4"/>
  <c r="AU48" i="4"/>
  <c r="AT48" i="4"/>
  <c r="AS48" i="4"/>
  <c r="AR48" i="4"/>
  <c r="AQ48" i="4"/>
  <c r="AP48" i="4"/>
  <c r="AO48" i="4"/>
  <c r="AM48" i="4"/>
  <c r="AL48" i="4"/>
  <c r="AK48" i="4"/>
  <c r="AJ48" i="4"/>
  <c r="AI48" i="4"/>
  <c r="AH48" i="4"/>
  <c r="AH34" i="4" s="1"/>
  <c r="AG48" i="4"/>
  <c r="AF48" i="4"/>
  <c r="AE48" i="4"/>
  <c r="AC48" i="4"/>
  <c r="AC34" i="4" s="1"/>
  <c r="AB48" i="4"/>
  <c r="AA48" i="4"/>
  <c r="Z48" i="4"/>
  <c r="Y48" i="4"/>
  <c r="X48" i="4"/>
  <c r="W48" i="4"/>
  <c r="V48" i="4"/>
  <c r="U48" i="4"/>
  <c r="T48" i="4"/>
  <c r="S48" i="4"/>
  <c r="R48" i="4"/>
  <c r="Q48" i="4"/>
  <c r="Q34" i="4" s="1"/>
  <c r="P48" i="4"/>
  <c r="O48" i="4"/>
  <c r="N48" i="4"/>
  <c r="M48" i="4"/>
  <c r="M34" i="4" s="1"/>
  <c r="L48" i="4"/>
  <c r="K48" i="4"/>
  <c r="J48" i="4"/>
  <c r="I48" i="4"/>
  <c r="I34" i="4" s="1"/>
  <c r="H48" i="4"/>
  <c r="G48" i="4"/>
  <c r="F48" i="4"/>
  <c r="E48" i="4"/>
  <c r="E34" i="4" s="1"/>
  <c r="D48" i="4"/>
  <c r="C48" i="4"/>
  <c r="BR47" i="4"/>
  <c r="BP47" i="4"/>
  <c r="BO47" i="4"/>
  <c r="BM47" i="4"/>
  <c r="BL47" i="4"/>
  <c r="BJ47" i="4"/>
  <c r="BI47" i="4"/>
  <c r="BH47" i="4"/>
  <c r="BE47" i="4"/>
  <c r="BD47" i="4"/>
  <c r="BR46" i="4"/>
  <c r="BP46" i="4"/>
  <c r="BO46" i="4"/>
  <c r="BM46" i="4"/>
  <c r="BL46" i="4"/>
  <c r="BJ46" i="4"/>
  <c r="BI46" i="4"/>
  <c r="BH46" i="4"/>
  <c r="BE46" i="4"/>
  <c r="BD46" i="4"/>
  <c r="Z46" i="4"/>
  <c r="Z44" i="4" s="1"/>
  <c r="BR45" i="4"/>
  <c r="BP45" i="4"/>
  <c r="BO45" i="4"/>
  <c r="BM45" i="4"/>
  <c r="BL45" i="4"/>
  <c r="BJ45" i="4"/>
  <c r="BI45" i="4"/>
  <c r="BH45" i="4"/>
  <c r="BE45" i="4"/>
  <c r="BD45" i="4"/>
  <c r="BQ44" i="4"/>
  <c r="BN44" i="4"/>
  <c r="BK44" i="4"/>
  <c r="BM44" i="4" s="1"/>
  <c r="BG44" i="4"/>
  <c r="BF44" i="4"/>
  <c r="AY44" i="4"/>
  <c r="AX44" i="4"/>
  <c r="AW44" i="4"/>
  <c r="AV44" i="4"/>
  <c r="AU44" i="4"/>
  <c r="AT44" i="4"/>
  <c r="AS44" i="4"/>
  <c r="AR44" i="4"/>
  <c r="AR34" i="4" s="1"/>
  <c r="AQ44" i="4"/>
  <c r="AP44" i="4"/>
  <c r="AO44" i="4"/>
  <c r="AN44" i="4"/>
  <c r="AM44" i="4"/>
  <c r="AL44" i="4"/>
  <c r="AK44" i="4"/>
  <c r="AJ44" i="4"/>
  <c r="AJ34" i="4" s="1"/>
  <c r="AI44" i="4"/>
  <c r="AH44" i="4"/>
  <c r="AG44" i="4"/>
  <c r="AF44" i="4"/>
  <c r="AF34" i="4" s="1"/>
  <c r="AE44" i="4"/>
  <c r="AD44" i="4"/>
  <c r="AC44" i="4"/>
  <c r="AB44" i="4"/>
  <c r="AB34" i="4" s="1"/>
  <c r="AA44" i="4"/>
  <c r="Y44" i="4"/>
  <c r="X44" i="4"/>
  <c r="X34" i="4" s="1"/>
  <c r="W44" i="4"/>
  <c r="V44" i="4"/>
  <c r="U44" i="4"/>
  <c r="T44" i="4"/>
  <c r="T34" i="4" s="1"/>
  <c r="S44" i="4"/>
  <c r="R44" i="4"/>
  <c r="Q44" i="4"/>
  <c r="P44" i="4"/>
  <c r="P34" i="4" s="1"/>
  <c r="O44" i="4"/>
  <c r="N44" i="4"/>
  <c r="M44" i="4"/>
  <c r="L44" i="4"/>
  <c r="L34" i="4" s="1"/>
  <c r="K44" i="4"/>
  <c r="J44" i="4"/>
  <c r="I44" i="4"/>
  <c r="H44" i="4"/>
  <c r="H34" i="4" s="1"/>
  <c r="G44" i="4"/>
  <c r="F44" i="4"/>
  <c r="E44" i="4"/>
  <c r="D44" i="4"/>
  <c r="D34" i="4" s="1"/>
  <c r="C44" i="4"/>
  <c r="BR43" i="4"/>
  <c r="BP43" i="4"/>
  <c r="BO43" i="4"/>
  <c r="BM43" i="4"/>
  <c r="BL43" i="4"/>
  <c r="BJ43" i="4"/>
  <c r="BI43" i="4"/>
  <c r="BH43" i="4"/>
  <c r="BE43" i="4"/>
  <c r="BD43" i="4"/>
  <c r="BR42" i="4"/>
  <c r="BP42" i="4"/>
  <c r="BO42" i="4"/>
  <c r="BM42" i="4"/>
  <c r="BL42" i="4"/>
  <c r="BJ42" i="4"/>
  <c r="BI42" i="4"/>
  <c r="BH42" i="4"/>
  <c r="BE42" i="4"/>
  <c r="BD42" i="4"/>
  <c r="AU42" i="4"/>
  <c r="Z42" i="4"/>
  <c r="U42" i="4"/>
  <c r="U36" i="4" s="1"/>
  <c r="U34" i="4" s="1"/>
  <c r="BR41" i="4"/>
  <c r="BP41" i="4"/>
  <c r="BO41" i="4"/>
  <c r="BM41" i="4"/>
  <c r="BL41" i="4"/>
  <c r="BJ41" i="4"/>
  <c r="BI41" i="4"/>
  <c r="BH41" i="4"/>
  <c r="BE41" i="4"/>
  <c r="BD41" i="4"/>
  <c r="BR40" i="4"/>
  <c r="BP40" i="4"/>
  <c r="BO40" i="4"/>
  <c r="BM40" i="4"/>
  <c r="BL40" i="4"/>
  <c r="BJ40" i="4"/>
  <c r="BI40" i="4"/>
  <c r="BH40" i="4"/>
  <c r="BE40" i="4"/>
  <c r="BD40" i="4"/>
  <c r="BR39" i="4"/>
  <c r="BP39" i="4"/>
  <c r="BO39" i="4"/>
  <c r="BM39" i="4"/>
  <c r="BL39" i="4"/>
  <c r="BJ39" i="4"/>
  <c r="BI39" i="4"/>
  <c r="BH39" i="4"/>
  <c r="BE39" i="4"/>
  <c r="BD39" i="4"/>
  <c r="AU39" i="4"/>
  <c r="BR38" i="4"/>
  <c r="BP38" i="4"/>
  <c r="BO38" i="4"/>
  <c r="BM38" i="4"/>
  <c r="BL38" i="4"/>
  <c r="BJ38" i="4"/>
  <c r="BI38" i="4"/>
  <c r="BH38" i="4"/>
  <c r="BE38" i="4"/>
  <c r="BD38" i="4"/>
  <c r="BR37" i="4"/>
  <c r="BP37" i="4"/>
  <c r="BO37" i="4"/>
  <c r="BM37" i="4"/>
  <c r="BL37" i="4"/>
  <c r="BJ37" i="4"/>
  <c r="BI37" i="4"/>
  <c r="BH37" i="4"/>
  <c r="BG37" i="4"/>
  <c r="BG36" i="4" s="1"/>
  <c r="BE37" i="4"/>
  <c r="BD37" i="4"/>
  <c r="AM37" i="4"/>
  <c r="AG37" i="4"/>
  <c r="AC37" i="4"/>
  <c r="Z37" i="4"/>
  <c r="Z36" i="4" s="1"/>
  <c r="R37" i="4"/>
  <c r="F37" i="4"/>
  <c r="C37" i="4"/>
  <c r="BQ36" i="4"/>
  <c r="BQ34" i="4" s="1"/>
  <c r="BN36" i="4"/>
  <c r="BO36" i="4" s="1"/>
  <c r="BK36" i="4"/>
  <c r="BF36" i="4"/>
  <c r="BC36" i="4"/>
  <c r="AX36" i="4"/>
  <c r="AW36" i="4"/>
  <c r="AV36" i="4"/>
  <c r="AU36" i="4"/>
  <c r="AU34" i="4" s="1"/>
  <c r="AT36" i="4"/>
  <c r="AS36" i="4"/>
  <c r="AR36" i="4"/>
  <c r="AQ36" i="4"/>
  <c r="AQ34" i="4" s="1"/>
  <c r="AP36" i="4"/>
  <c r="AO36" i="4"/>
  <c r="AN36" i="4"/>
  <c r="AM36" i="4"/>
  <c r="AM34" i="4" s="1"/>
  <c r="AL36" i="4"/>
  <c r="AK36" i="4"/>
  <c r="AJ36" i="4"/>
  <c r="AI36" i="4"/>
  <c r="AI34" i="4" s="1"/>
  <c r="AH36" i="4"/>
  <c r="AG36" i="4"/>
  <c r="AF36" i="4"/>
  <c r="AE36" i="4"/>
  <c r="AE34" i="4" s="1"/>
  <c r="AD36" i="4"/>
  <c r="AC36" i="4"/>
  <c r="AB36" i="4"/>
  <c r="AA36" i="4"/>
  <c r="AA34" i="4" s="1"/>
  <c r="Y36" i="4"/>
  <c r="X36" i="4"/>
  <c r="W36" i="4"/>
  <c r="V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K34" i="4"/>
  <c r="BB34" i="4"/>
  <c r="BA34" i="4"/>
  <c r="AZ34" i="4"/>
  <c r="AY34" i="4"/>
  <c r="AX34" i="4"/>
  <c r="AW34" i="4"/>
  <c r="AT34" i="4"/>
  <c r="AS34" i="4"/>
  <c r="AP34" i="4"/>
  <c r="AO34" i="4"/>
  <c r="AK34" i="4"/>
  <c r="AG34" i="4"/>
  <c r="W34" i="4"/>
  <c r="V34" i="4"/>
  <c r="S34" i="4"/>
  <c r="R34" i="4"/>
  <c r="O34" i="4"/>
  <c r="N34" i="4"/>
  <c r="K34" i="4"/>
  <c r="J34" i="4"/>
  <c r="G34" i="4"/>
  <c r="C34" i="4"/>
  <c r="BR33" i="4"/>
  <c r="BP33" i="4"/>
  <c r="BO33" i="4"/>
  <c r="BM33" i="4"/>
  <c r="BL33" i="4"/>
  <c r="BJ33" i="4"/>
  <c r="BI33" i="4"/>
  <c r="BH33" i="4"/>
  <c r="BE33" i="4"/>
  <c r="BD33" i="4"/>
  <c r="BR32" i="4"/>
  <c r="BP32" i="4"/>
  <c r="BO32" i="4"/>
  <c r="BM32" i="4"/>
  <c r="BL32" i="4"/>
  <c r="BJ32" i="4"/>
  <c r="BI32" i="4"/>
  <c r="BH32" i="4"/>
  <c r="BE32" i="4"/>
  <c r="BD32" i="4"/>
  <c r="BQ31" i="4"/>
  <c r="BR31" i="4" s="1"/>
  <c r="BN31" i="4"/>
  <c r="BK31" i="4"/>
  <c r="BO31" i="4" s="1"/>
  <c r="BG31" i="4"/>
  <c r="BF31" i="4"/>
  <c r="BJ31" i="4" s="1"/>
  <c r="AZ31" i="4"/>
  <c r="AY31" i="4"/>
  <c r="AX31" i="4"/>
  <c r="AW31" i="4"/>
  <c r="AV31" i="4"/>
  <c r="AU31" i="4"/>
  <c r="AT31" i="4"/>
  <c r="AT6" i="4" s="1"/>
  <c r="AS31" i="4"/>
  <c r="AR31" i="4"/>
  <c r="AQ31" i="4"/>
  <c r="AP31" i="4"/>
  <c r="AP6" i="4" s="1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V7" i="4" s="1"/>
  <c r="U31" i="4"/>
  <c r="T31" i="4"/>
  <c r="S31" i="4"/>
  <c r="R31" i="4"/>
  <c r="R6" i="4" s="1"/>
  <c r="Q31" i="4"/>
  <c r="P31" i="4"/>
  <c r="O31" i="4"/>
  <c r="N31" i="4"/>
  <c r="N6" i="4" s="1"/>
  <c r="M31" i="4"/>
  <c r="L31" i="4"/>
  <c r="K31" i="4"/>
  <c r="J31" i="4"/>
  <c r="I31" i="4"/>
  <c r="H31" i="4"/>
  <c r="G31" i="4"/>
  <c r="F31" i="4"/>
  <c r="F7" i="4" s="1"/>
  <c r="E31" i="4"/>
  <c r="D31" i="4"/>
  <c r="C31" i="4"/>
  <c r="BR30" i="4"/>
  <c r="BP30" i="4"/>
  <c r="BO30" i="4"/>
  <c r="BM30" i="4"/>
  <c r="BL30" i="4"/>
  <c r="BJ30" i="4"/>
  <c r="BI30" i="4"/>
  <c r="BH30" i="4"/>
  <c r="BG30" i="4"/>
  <c r="BE30" i="4"/>
  <c r="BD30" i="4"/>
  <c r="AN30" i="4"/>
  <c r="AD30" i="4"/>
  <c r="BR29" i="4"/>
  <c r="BP29" i="4"/>
  <c r="BO29" i="4"/>
  <c r="BM29" i="4"/>
  <c r="BL29" i="4"/>
  <c r="BJ29" i="4"/>
  <c r="BI29" i="4"/>
  <c r="BH29" i="4"/>
  <c r="BG29" i="4"/>
  <c r="BE29" i="4"/>
  <c r="BD29" i="4"/>
  <c r="AD29" i="4"/>
  <c r="AD27" i="4" s="1"/>
  <c r="Y29" i="4"/>
  <c r="U29" i="4"/>
  <c r="R29" i="4"/>
  <c r="J29" i="4"/>
  <c r="J27" i="4" s="1"/>
  <c r="F29" i="4"/>
  <c r="C29" i="4"/>
  <c r="BR28" i="4"/>
  <c r="BP28" i="4"/>
  <c r="BO28" i="4"/>
  <c r="BM28" i="4"/>
  <c r="BL28" i="4"/>
  <c r="BJ28" i="4"/>
  <c r="BI28" i="4"/>
  <c r="BH28" i="4"/>
  <c r="BG28" i="4"/>
  <c r="BE28" i="4"/>
  <c r="BD28" i="4"/>
  <c r="AU28" i="4"/>
  <c r="AU27" i="4" s="1"/>
  <c r="AD28" i="4"/>
  <c r="Y28" i="4"/>
  <c r="Y27" i="4" s="1"/>
  <c r="U28" i="4"/>
  <c r="J28" i="4"/>
  <c r="F28" i="4"/>
  <c r="C28" i="4"/>
  <c r="C27" i="4" s="1"/>
  <c r="BQ27" i="4"/>
  <c r="BR27" i="4" s="1"/>
  <c r="BN27" i="4"/>
  <c r="BK27" i="4"/>
  <c r="BO27" i="4" s="1"/>
  <c r="BG27" i="4"/>
  <c r="BF27" i="4"/>
  <c r="BJ27" i="4" s="1"/>
  <c r="BC27" i="4"/>
  <c r="BB27" i="4"/>
  <c r="AX27" i="4"/>
  <c r="AX20" i="4" s="1"/>
  <c r="AX7" i="4" s="1"/>
  <c r="AW27" i="4"/>
  <c r="AV27" i="4"/>
  <c r="AT27" i="4"/>
  <c r="AS27" i="4"/>
  <c r="AS20" i="4" s="1"/>
  <c r="AR27" i="4"/>
  <c r="AQ27" i="4"/>
  <c r="AP27" i="4"/>
  <c r="AO27" i="4"/>
  <c r="AO20" i="4" s="1"/>
  <c r="AO7" i="4" s="1"/>
  <c r="AN27" i="4"/>
  <c r="AM27" i="4"/>
  <c r="AL27" i="4"/>
  <c r="AK27" i="4"/>
  <c r="AK20" i="4" s="1"/>
  <c r="AK6" i="4" s="1"/>
  <c r="AJ27" i="4"/>
  <c r="AI27" i="4"/>
  <c r="AH27" i="4"/>
  <c r="AG27" i="4"/>
  <c r="AG20" i="4" s="1"/>
  <c r="AG7" i="4" s="1"/>
  <c r="AF27" i="4"/>
  <c r="AE27" i="4"/>
  <c r="AC27" i="4"/>
  <c r="AB27" i="4"/>
  <c r="AA27" i="4"/>
  <c r="Z27" i="4"/>
  <c r="X27" i="4"/>
  <c r="X20" i="4" s="1"/>
  <c r="X7" i="4" s="1"/>
  <c r="W27" i="4"/>
  <c r="V27" i="4"/>
  <c r="T27" i="4"/>
  <c r="S27" i="4"/>
  <c r="S20" i="4" s="1"/>
  <c r="S7" i="4" s="1"/>
  <c r="R27" i="4"/>
  <c r="Q27" i="4"/>
  <c r="P27" i="4"/>
  <c r="O27" i="4"/>
  <c r="O20" i="4" s="1"/>
  <c r="O7" i="4" s="1"/>
  <c r="N27" i="4"/>
  <c r="M27" i="4"/>
  <c r="L27" i="4"/>
  <c r="K27" i="4"/>
  <c r="K20" i="4" s="1"/>
  <c r="K7" i="4" s="1"/>
  <c r="I27" i="4"/>
  <c r="H27" i="4"/>
  <c r="G27" i="4"/>
  <c r="F27" i="4"/>
  <c r="E27" i="4"/>
  <c r="D27" i="4"/>
  <c r="BR26" i="4"/>
  <c r="BP26" i="4"/>
  <c r="BO26" i="4"/>
  <c r="BM26" i="4"/>
  <c r="BL26" i="4"/>
  <c r="BJ26" i="4"/>
  <c r="BI26" i="4"/>
  <c r="BH26" i="4"/>
  <c r="BG26" i="4"/>
  <c r="BG24" i="4" s="1"/>
  <c r="BE26" i="4"/>
  <c r="BD26" i="4"/>
  <c r="BR25" i="4"/>
  <c r="BP25" i="4"/>
  <c r="BO25" i="4"/>
  <c r="BM25" i="4"/>
  <c r="BL25" i="4"/>
  <c r="BJ25" i="4"/>
  <c r="BI25" i="4"/>
  <c r="BH25" i="4"/>
  <c r="BG25" i="4"/>
  <c r="BE25" i="4"/>
  <c r="BD25" i="4"/>
  <c r="BQ24" i="4"/>
  <c r="BN24" i="4"/>
  <c r="BR24" i="4" s="1"/>
  <c r="BK24" i="4"/>
  <c r="BF24" i="4"/>
  <c r="BC24" i="4"/>
  <c r="BE24" i="4" s="1"/>
  <c r="AW24" i="4"/>
  <c r="AW20" i="4" s="1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BR23" i="4"/>
  <c r="BP23" i="4"/>
  <c r="BO23" i="4"/>
  <c r="BM23" i="4"/>
  <c r="BL23" i="4"/>
  <c r="BJ23" i="4"/>
  <c r="BI23" i="4"/>
  <c r="BH23" i="4"/>
  <c r="BG23" i="4"/>
  <c r="BE23" i="4"/>
  <c r="BD23" i="4"/>
  <c r="AN23" i="4"/>
  <c r="AD23" i="4"/>
  <c r="BR22" i="4"/>
  <c r="BP22" i="4"/>
  <c r="BO22" i="4"/>
  <c r="BM22" i="4"/>
  <c r="BL22" i="4"/>
  <c r="BG22" i="4"/>
  <c r="BF22" i="4"/>
  <c r="BJ22" i="4" s="1"/>
  <c r="BE22" i="4"/>
  <c r="BD22" i="4"/>
  <c r="AD22" i="4"/>
  <c r="AD21" i="4" s="1"/>
  <c r="Z22" i="4"/>
  <c r="Y22" i="4"/>
  <c r="Y21" i="4" s="1"/>
  <c r="U22" i="4"/>
  <c r="J22" i="4"/>
  <c r="J21" i="4" s="1"/>
  <c r="F22" i="4"/>
  <c r="C22" i="4"/>
  <c r="C21" i="4" s="1"/>
  <c r="BQ21" i="4"/>
  <c r="BR21" i="4" s="1"/>
  <c r="BN21" i="4"/>
  <c r="BK21" i="4"/>
  <c r="BO21" i="4" s="1"/>
  <c r="BG21" i="4"/>
  <c r="BC21" i="4"/>
  <c r="BE21" i="4" s="1"/>
  <c r="AX21" i="4"/>
  <c r="AW21" i="4"/>
  <c r="AV21" i="4"/>
  <c r="AU21" i="4"/>
  <c r="AT21" i="4"/>
  <c r="AT20" i="4" s="1"/>
  <c r="AS21" i="4"/>
  <c r="AR21" i="4"/>
  <c r="AQ21" i="4"/>
  <c r="AP21" i="4"/>
  <c r="AP20" i="4" s="1"/>
  <c r="AO21" i="4"/>
  <c r="AN21" i="4"/>
  <c r="AM21" i="4"/>
  <c r="AL21" i="4"/>
  <c r="AL20" i="4" s="1"/>
  <c r="AL6" i="4" s="1"/>
  <c r="AK21" i="4"/>
  <c r="AJ21" i="4"/>
  <c r="AI21" i="4"/>
  <c r="AH21" i="4"/>
  <c r="AH20" i="4" s="1"/>
  <c r="AG21" i="4"/>
  <c r="AF21" i="4"/>
  <c r="AE21" i="4"/>
  <c r="AC21" i="4"/>
  <c r="AB21" i="4"/>
  <c r="AA21" i="4"/>
  <c r="Z21" i="4"/>
  <c r="X21" i="4"/>
  <c r="W21" i="4"/>
  <c r="V21" i="4"/>
  <c r="U21" i="4"/>
  <c r="T21" i="4"/>
  <c r="S21" i="4"/>
  <c r="R21" i="4"/>
  <c r="Q21" i="4"/>
  <c r="Q20" i="4" s="1"/>
  <c r="Q7" i="4" s="1"/>
  <c r="P21" i="4"/>
  <c r="O21" i="4"/>
  <c r="N21" i="4"/>
  <c r="M21" i="4"/>
  <c r="M20" i="4" s="1"/>
  <c r="L21" i="4"/>
  <c r="K21" i="4"/>
  <c r="I21" i="4"/>
  <c r="H21" i="4"/>
  <c r="H20" i="4" s="1"/>
  <c r="H7" i="4" s="1"/>
  <c r="G21" i="4"/>
  <c r="F21" i="4"/>
  <c r="E21" i="4"/>
  <c r="D21" i="4"/>
  <c r="D20" i="4" s="1"/>
  <c r="BQ20" i="4"/>
  <c r="BN20" i="4"/>
  <c r="BK20" i="4"/>
  <c r="BC20" i="4"/>
  <c r="AZ20" i="4"/>
  <c r="AZ7" i="4" s="1"/>
  <c r="AY20" i="4"/>
  <c r="AV20" i="4"/>
  <c r="AV7" i="4" s="1"/>
  <c r="AR20" i="4"/>
  <c r="AQ20" i="4"/>
  <c r="AQ6" i="4" s="1"/>
  <c r="AN20" i="4"/>
  <c r="AM20" i="4"/>
  <c r="AJ20" i="4"/>
  <c r="AI20" i="4"/>
  <c r="AF20" i="4"/>
  <c r="AE20" i="4"/>
  <c r="AB20" i="4"/>
  <c r="AA20" i="4"/>
  <c r="Z20" i="4"/>
  <c r="W20" i="4"/>
  <c r="V20" i="4"/>
  <c r="T20" i="4"/>
  <c r="T7" i="4" s="1"/>
  <c r="R20" i="4"/>
  <c r="P20" i="4"/>
  <c r="P7" i="4" s="1"/>
  <c r="N20" i="4"/>
  <c r="L20" i="4"/>
  <c r="L7" i="4" s="1"/>
  <c r="I20" i="4"/>
  <c r="G20" i="4"/>
  <c r="G7" i="4" s="1"/>
  <c r="F20" i="4"/>
  <c r="E20" i="4"/>
  <c r="BR19" i="4"/>
  <c r="BP19" i="4"/>
  <c r="BO19" i="4"/>
  <c r="BM19" i="4"/>
  <c r="BL19" i="4"/>
  <c r="BJ19" i="4"/>
  <c r="BI19" i="4"/>
  <c r="BH19" i="4"/>
  <c r="BE19" i="4"/>
  <c r="BD19" i="4"/>
  <c r="BR18" i="4"/>
  <c r="BP18" i="4"/>
  <c r="BO18" i="4"/>
  <c r="BM18" i="4"/>
  <c r="BL18" i="4"/>
  <c r="BJ18" i="4"/>
  <c r="BI18" i="4"/>
  <c r="BH18" i="4"/>
  <c r="BE18" i="4"/>
  <c r="BD18" i="4"/>
  <c r="BR17" i="4"/>
  <c r="BP17" i="4"/>
  <c r="BO17" i="4"/>
  <c r="BM17" i="4"/>
  <c r="BL17" i="4"/>
  <c r="BJ17" i="4"/>
  <c r="BI17" i="4"/>
  <c r="BH17" i="4"/>
  <c r="BE17" i="4"/>
  <c r="BD17" i="4"/>
  <c r="BR16" i="4"/>
  <c r="BP16" i="4"/>
  <c r="BO16" i="4"/>
  <c r="BM16" i="4"/>
  <c r="BL16" i="4"/>
  <c r="BJ16" i="4"/>
  <c r="BI16" i="4"/>
  <c r="BH16" i="4"/>
  <c r="BE16" i="4"/>
  <c r="BD16" i="4"/>
  <c r="BR15" i="4"/>
  <c r="BP15" i="4"/>
  <c r="BO15" i="4"/>
  <c r="BM15" i="4"/>
  <c r="BL15" i="4"/>
  <c r="BJ15" i="4"/>
  <c r="BI15" i="4"/>
  <c r="BH15" i="4"/>
  <c r="BE15" i="4"/>
  <c r="BD15" i="4"/>
  <c r="BQ14" i="4"/>
  <c r="BN14" i="4"/>
  <c r="BP14" i="4" s="1"/>
  <c r="BK14" i="4"/>
  <c r="BO14" i="4" s="1"/>
  <c r="BG14" i="4"/>
  <c r="BF14" i="4"/>
  <c r="BC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AA7" i="4" s="1"/>
  <c r="Z14" i="4"/>
  <c r="Y14" i="4"/>
  <c r="X14" i="4"/>
  <c r="W14" i="4"/>
  <c r="W7" i="4" s="1"/>
  <c r="BR13" i="4"/>
  <c r="BP13" i="4"/>
  <c r="BO13" i="4"/>
  <c r="BM13" i="4"/>
  <c r="BL13" i="4"/>
  <c r="BJ13" i="4"/>
  <c r="BI13" i="4"/>
  <c r="BH13" i="4"/>
  <c r="BE13" i="4"/>
  <c r="BD13" i="4"/>
  <c r="C13" i="4"/>
  <c r="BR12" i="4"/>
  <c r="BP12" i="4"/>
  <c r="BO12" i="4"/>
  <c r="BM12" i="4"/>
  <c r="BL12" i="4"/>
  <c r="BG12" i="4"/>
  <c r="BF12" i="4"/>
  <c r="BJ12" i="4" s="1"/>
  <c r="BE12" i="4"/>
  <c r="BD12" i="4"/>
  <c r="Y12" i="4"/>
  <c r="U12" i="4"/>
  <c r="J12" i="4"/>
  <c r="J9" i="4" s="1"/>
  <c r="F12" i="4"/>
  <c r="C12" i="4"/>
  <c r="BR11" i="4"/>
  <c r="BP11" i="4"/>
  <c r="BO11" i="4"/>
  <c r="BM11" i="4"/>
  <c r="BG11" i="4"/>
  <c r="BF11" i="4"/>
  <c r="BE11" i="4"/>
  <c r="BD11" i="4"/>
  <c r="Z11" i="4"/>
  <c r="Y11" i="4"/>
  <c r="Y9" i="4" s="1"/>
  <c r="U11" i="4"/>
  <c r="J11" i="4"/>
  <c r="F11" i="4"/>
  <c r="C11" i="4"/>
  <c r="C9" i="4" s="1"/>
  <c r="BR10" i="4"/>
  <c r="BP10" i="4"/>
  <c r="BO10" i="4"/>
  <c r="BM10" i="4"/>
  <c r="BG10" i="4"/>
  <c r="BF10" i="4"/>
  <c r="BJ10" i="4" s="1"/>
  <c r="BE10" i="4"/>
  <c r="BD10" i="4"/>
  <c r="Z10" i="4"/>
  <c r="Y10" i="4"/>
  <c r="V10" i="4"/>
  <c r="U10" i="4"/>
  <c r="U9" i="4" s="1"/>
  <c r="J10" i="4"/>
  <c r="F10" i="4"/>
  <c r="C10" i="4"/>
  <c r="BQ9" i="4"/>
  <c r="BN9" i="4"/>
  <c r="BK9" i="4"/>
  <c r="BD9" i="4"/>
  <c r="BC9" i="4"/>
  <c r="BB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X9" i="4"/>
  <c r="W9" i="4"/>
  <c r="V9" i="4"/>
  <c r="T9" i="4"/>
  <c r="S9" i="4"/>
  <c r="R9" i="4"/>
  <c r="Q9" i="4"/>
  <c r="P9" i="4"/>
  <c r="O9" i="4"/>
  <c r="N9" i="4"/>
  <c r="M9" i="4"/>
  <c r="L9" i="4"/>
  <c r="K9" i="4"/>
  <c r="I9" i="4"/>
  <c r="H9" i="4"/>
  <c r="G9" i="4"/>
  <c r="F9" i="4"/>
  <c r="E9" i="4"/>
  <c r="E7" i="4" s="1"/>
  <c r="D9" i="4"/>
  <c r="BN7" i="4"/>
  <c r="BB7" i="4"/>
  <c r="BA7" i="4"/>
  <c r="AY7" i="4"/>
  <c r="AS7" i="4"/>
  <c r="AR7" i="4"/>
  <c r="AN7" i="4"/>
  <c r="AK7" i="4"/>
  <c r="AJ7" i="4"/>
  <c r="AF7" i="4"/>
  <c r="AB7" i="4"/>
  <c r="R7" i="4"/>
  <c r="M7" i="4"/>
  <c r="I7" i="4"/>
  <c r="D7" i="4"/>
  <c r="BN6" i="4"/>
  <c r="BK6" i="4"/>
  <c r="BB6" i="4"/>
  <c r="BA6" i="4"/>
  <c r="AY6" i="4"/>
  <c r="AX6" i="4"/>
  <c r="AW6" i="4"/>
  <c r="AS6" i="4"/>
  <c r="AO6" i="4"/>
  <c r="AJ6" i="4"/>
  <c r="AF6" i="4"/>
  <c r="AA6" i="4"/>
  <c r="V6" i="4"/>
  <c r="Q6" i="4"/>
  <c r="P6" i="4"/>
  <c r="M6" i="4"/>
  <c r="I6" i="4"/>
  <c r="H6" i="4"/>
  <c r="G6" i="4"/>
  <c r="E6" i="4"/>
  <c r="D6" i="4"/>
  <c r="L219" i="6" l="1"/>
  <c r="I243" i="6"/>
  <c r="K244" i="6"/>
  <c r="L220" i="6"/>
  <c r="I219" i="6"/>
  <c r="O68" i="6"/>
  <c r="J67" i="6"/>
  <c r="O67" i="6" s="1"/>
  <c r="L244" i="6"/>
  <c r="N232" i="6"/>
  <c r="Q169" i="6"/>
  <c r="P68" i="6"/>
  <c r="P67" i="6"/>
  <c r="K307" i="6"/>
  <c r="P307" i="6"/>
  <c r="H306" i="6"/>
  <c r="R194" i="6"/>
  <c r="O107" i="6"/>
  <c r="M244" i="6"/>
  <c r="O151" i="6"/>
  <c r="R10" i="6"/>
  <c r="L182" i="6"/>
  <c r="I181" i="6"/>
  <c r="L183" i="6"/>
  <c r="N317" i="6"/>
  <c r="L307" i="6"/>
  <c r="N244" i="6"/>
  <c r="K220" i="6"/>
  <c r="N10" i="6"/>
  <c r="G259" i="6"/>
  <c r="G258" i="6" s="1"/>
  <c r="G257" i="6" s="1"/>
  <c r="H162" i="6"/>
  <c r="Q163" i="6"/>
  <c r="R293" i="6"/>
  <c r="Q293" i="6"/>
  <c r="H292" i="6"/>
  <c r="K321" i="6"/>
  <c r="L321" i="6"/>
  <c r="R265" i="6"/>
  <c r="Q265" i="6"/>
  <c r="N337" i="6"/>
  <c r="M337" i="6"/>
  <c r="P337" i="6"/>
  <c r="O337" i="6"/>
  <c r="L261" i="6"/>
  <c r="I260" i="6"/>
  <c r="K261" i="6"/>
  <c r="M302" i="6"/>
  <c r="P302" i="6"/>
  <c r="O302" i="6"/>
  <c r="N302" i="6"/>
  <c r="K127" i="6"/>
  <c r="L127" i="6"/>
  <c r="I327" i="6"/>
  <c r="P265" i="6"/>
  <c r="R254" i="6"/>
  <c r="Q254" i="6"/>
  <c r="H253" i="6"/>
  <c r="K254" i="6"/>
  <c r="P216" i="6"/>
  <c r="J215" i="6"/>
  <c r="N216" i="6"/>
  <c r="M216" i="6"/>
  <c r="N176" i="6"/>
  <c r="M176" i="6"/>
  <c r="J175" i="6"/>
  <c r="P176" i="6"/>
  <c r="O176" i="6"/>
  <c r="N170" i="6"/>
  <c r="M170" i="6"/>
  <c r="P170" i="6"/>
  <c r="J169" i="6"/>
  <c r="I169" i="6"/>
  <c r="L170" i="6"/>
  <c r="K170" i="6"/>
  <c r="R31" i="6"/>
  <c r="H30" i="6"/>
  <c r="Q31" i="6"/>
  <c r="H29" i="6"/>
  <c r="L68" i="6"/>
  <c r="I67" i="6"/>
  <c r="K68" i="6"/>
  <c r="M68" i="6"/>
  <c r="P9" i="6"/>
  <c r="O9" i="6"/>
  <c r="J8" i="6"/>
  <c r="G174" i="6"/>
  <c r="G173" i="6" s="1"/>
  <c r="G147" i="6" s="1"/>
  <c r="Q175" i="6"/>
  <c r="Q298" i="6"/>
  <c r="G292" i="6"/>
  <c r="G291" i="6" s="1"/>
  <c r="G290" i="6" s="1"/>
  <c r="G289" i="6" s="1"/>
  <c r="H260" i="6"/>
  <c r="P260" i="6" s="1"/>
  <c r="Q261" i="6"/>
  <c r="L227" i="6"/>
  <c r="I226" i="6"/>
  <c r="N226" i="6" s="1"/>
  <c r="K227" i="6"/>
  <c r="J200" i="6"/>
  <c r="O201" i="6"/>
  <c r="G207" i="6"/>
  <c r="N112" i="6"/>
  <c r="M112" i="6"/>
  <c r="O112" i="6"/>
  <c r="J106" i="6"/>
  <c r="P112" i="6"/>
  <c r="Q312" i="6"/>
  <c r="M261" i="6"/>
  <c r="N193" i="6"/>
  <c r="M193" i="6"/>
  <c r="J192" i="6"/>
  <c r="P193" i="6"/>
  <c r="O193" i="6"/>
  <c r="H151" i="6"/>
  <c r="R152" i="6"/>
  <c r="Q152" i="6"/>
  <c r="P152" i="6"/>
  <c r="Q239" i="6"/>
  <c r="L239" i="6"/>
  <c r="H226" i="6"/>
  <c r="P226" i="6" s="1"/>
  <c r="Q240" i="6"/>
  <c r="K240" i="6"/>
  <c r="L137" i="6"/>
  <c r="I136" i="6"/>
  <c r="K137" i="6"/>
  <c r="K108" i="6"/>
  <c r="I107" i="6"/>
  <c r="M108" i="6"/>
  <c r="L108" i="6"/>
  <c r="K57" i="6"/>
  <c r="L57" i="6"/>
  <c r="I56" i="6"/>
  <c r="J42" i="6"/>
  <c r="M43" i="6"/>
  <c r="O43" i="6"/>
  <c r="L95" i="6"/>
  <c r="K95" i="6"/>
  <c r="N95" i="6"/>
  <c r="I89" i="6"/>
  <c r="H8" i="6"/>
  <c r="R9" i="6"/>
  <c r="Q9" i="6"/>
  <c r="P351" i="6"/>
  <c r="J350" i="6"/>
  <c r="N351" i="6"/>
  <c r="M351" i="6"/>
  <c r="N321" i="6"/>
  <c r="K351" i="6"/>
  <c r="I350" i="6"/>
  <c r="I335" i="6" s="1"/>
  <c r="L351" i="6"/>
  <c r="H329" i="6"/>
  <c r="R330" i="6"/>
  <c r="Q330" i="6"/>
  <c r="P330" i="6"/>
  <c r="L330" i="6"/>
  <c r="O306" i="6"/>
  <c r="N306" i="6"/>
  <c r="M306" i="6"/>
  <c r="P306" i="6"/>
  <c r="Q313" i="6"/>
  <c r="L302" i="6"/>
  <c r="K302" i="6"/>
  <c r="N328" i="6"/>
  <c r="J326" i="6"/>
  <c r="O327" i="6"/>
  <c r="K294" i="6"/>
  <c r="I293" i="6"/>
  <c r="L294" i="6"/>
  <c r="K239" i="6"/>
  <c r="H342" i="6"/>
  <c r="R343" i="6"/>
  <c r="Q343" i="6"/>
  <c r="L343" i="6"/>
  <c r="P343" i="6"/>
  <c r="I283" i="6"/>
  <c r="L284" i="6"/>
  <c r="K284" i="6"/>
  <c r="I282" i="6"/>
  <c r="M227" i="6"/>
  <c r="G103" i="6"/>
  <c r="N313" i="6"/>
  <c r="M313" i="6"/>
  <c r="J312" i="6"/>
  <c r="P313" i="6"/>
  <c r="O313" i="6"/>
  <c r="M220" i="6"/>
  <c r="J219" i="6"/>
  <c r="O220" i="6"/>
  <c r="N220" i="6"/>
  <c r="P220" i="6"/>
  <c r="R175" i="6"/>
  <c r="Q168" i="6"/>
  <c r="H167" i="6"/>
  <c r="K265" i="6"/>
  <c r="R176" i="6"/>
  <c r="P137" i="6"/>
  <c r="O137" i="6"/>
  <c r="J136" i="6"/>
  <c r="N137" i="6"/>
  <c r="M137" i="6"/>
  <c r="N127" i="6"/>
  <c r="M127" i="6"/>
  <c r="P127" i="6"/>
  <c r="O127" i="6"/>
  <c r="R312" i="6"/>
  <c r="N260" i="6"/>
  <c r="M260" i="6"/>
  <c r="M194" i="6"/>
  <c r="P194" i="6"/>
  <c r="O194" i="6"/>
  <c r="N194" i="6"/>
  <c r="P163" i="6"/>
  <c r="J162" i="6"/>
  <c r="N163" i="6"/>
  <c r="M163" i="6"/>
  <c r="L121" i="6"/>
  <c r="K121" i="6"/>
  <c r="I120" i="6"/>
  <c r="I42" i="6"/>
  <c r="H106" i="6"/>
  <c r="Q107" i="6"/>
  <c r="R107" i="6"/>
  <c r="P183" i="6"/>
  <c r="N183" i="6"/>
  <c r="J182" i="6"/>
  <c r="M183" i="6"/>
  <c r="P140" i="6"/>
  <c r="N140" i="6"/>
  <c r="M140" i="6"/>
  <c r="Q45" i="6"/>
  <c r="H44" i="6"/>
  <c r="R45" i="6"/>
  <c r="R120" i="6"/>
  <c r="N108" i="6"/>
  <c r="K31" i="6"/>
  <c r="I29" i="6"/>
  <c r="L31" i="6"/>
  <c r="N31" i="6"/>
  <c r="I30" i="6"/>
  <c r="P18" i="6"/>
  <c r="O18" i="6"/>
  <c r="N18" i="6"/>
  <c r="M18" i="6"/>
  <c r="N231" i="6"/>
  <c r="O150" i="6"/>
  <c r="P122" i="6"/>
  <c r="J121" i="6"/>
  <c r="N122" i="6"/>
  <c r="M122" i="6"/>
  <c r="Q120" i="6"/>
  <c r="P285" i="6"/>
  <c r="J284" i="6"/>
  <c r="N285" i="6"/>
  <c r="M285" i="6"/>
  <c r="J99" i="6"/>
  <c r="P100" i="6"/>
  <c r="M100" i="6"/>
  <c r="L250" i="6"/>
  <c r="K250" i="6"/>
  <c r="N250" i="6"/>
  <c r="M250" i="6"/>
  <c r="N261" i="6"/>
  <c r="H202" i="6"/>
  <c r="R203" i="6"/>
  <c r="Q203" i="6"/>
  <c r="N143" i="6"/>
  <c r="M143" i="6"/>
  <c r="O143" i="6"/>
  <c r="P143" i="6"/>
  <c r="N63" i="6"/>
  <c r="M63" i="6"/>
  <c r="P63" i="6"/>
  <c r="I210" i="6"/>
  <c r="K211" i="6"/>
  <c r="I98" i="6"/>
  <c r="L99" i="6"/>
  <c r="K99" i="6"/>
  <c r="R90" i="6"/>
  <c r="Q90" i="6"/>
  <c r="H89" i="6"/>
  <c r="P90" i="6"/>
  <c r="M51" i="6"/>
  <c r="J50" i="6"/>
  <c r="O51" i="6"/>
  <c r="P51" i="6"/>
  <c r="N51" i="6"/>
  <c r="N186" i="6"/>
  <c r="M186" i="6"/>
  <c r="P186" i="6"/>
  <c r="O186" i="6"/>
  <c r="H98" i="6"/>
  <c r="Q98" i="6" s="1"/>
  <c r="Q99" i="6"/>
  <c r="O298" i="6"/>
  <c r="N298" i="6"/>
  <c r="P298" i="6"/>
  <c r="M298" i="6"/>
  <c r="L231" i="6"/>
  <c r="K231" i="6"/>
  <c r="O226" i="6"/>
  <c r="M226" i="6"/>
  <c r="J225" i="6"/>
  <c r="L194" i="6"/>
  <c r="K194" i="6"/>
  <c r="K176" i="6"/>
  <c r="L176" i="6"/>
  <c r="I175" i="6"/>
  <c r="K112" i="6"/>
  <c r="L112" i="6"/>
  <c r="Q176" i="6"/>
  <c r="L346" i="6"/>
  <c r="K346" i="6"/>
  <c r="M321" i="6"/>
  <c r="K317" i="6"/>
  <c r="L317" i="6"/>
  <c r="L313" i="6"/>
  <c r="K313" i="6"/>
  <c r="I312" i="6"/>
  <c r="R313" i="6"/>
  <c r="P347" i="6"/>
  <c r="J346" i="6"/>
  <c r="N347" i="6"/>
  <c r="M347" i="6"/>
  <c r="M328" i="6"/>
  <c r="O294" i="6"/>
  <c r="P294" i="6"/>
  <c r="N294" i="6"/>
  <c r="J293" i="6"/>
  <c r="M294" i="6"/>
  <c r="N254" i="6"/>
  <c r="M254" i="6"/>
  <c r="J253" i="6"/>
  <c r="P254" i="6"/>
  <c r="O254" i="6"/>
  <c r="N211" i="6"/>
  <c r="M211" i="6"/>
  <c r="J210" i="6"/>
  <c r="P250" i="6"/>
  <c r="K253" i="6"/>
  <c r="L253" i="6"/>
  <c r="L232" i="6"/>
  <c r="K232" i="6"/>
  <c r="N228" i="6"/>
  <c r="M228" i="6"/>
  <c r="P228" i="6"/>
  <c r="L193" i="6"/>
  <c r="K193" i="6"/>
  <c r="I192" i="6"/>
  <c r="Q283" i="6"/>
  <c r="H281" i="6"/>
  <c r="Q281" i="6" s="1"/>
  <c r="J276" i="6"/>
  <c r="N277" i="6"/>
  <c r="M277" i="6"/>
  <c r="P203" i="6"/>
  <c r="L143" i="6"/>
  <c r="K143" i="6"/>
  <c r="Q278" i="6"/>
  <c r="H277" i="6"/>
  <c r="P277" i="6" s="1"/>
  <c r="H173" i="6"/>
  <c r="Q174" i="6"/>
  <c r="I157" i="6"/>
  <c r="L158" i="6"/>
  <c r="K158" i="6"/>
  <c r="L265" i="6"/>
  <c r="Q212" i="6"/>
  <c r="H211" i="6"/>
  <c r="K152" i="6"/>
  <c r="I151" i="6"/>
  <c r="M152" i="6"/>
  <c r="L152" i="6"/>
  <c r="H310" i="6"/>
  <c r="R311" i="6"/>
  <c r="Q311" i="6"/>
  <c r="K277" i="6"/>
  <c r="I276" i="6"/>
  <c r="L277" i="6"/>
  <c r="P261" i="6"/>
  <c r="K249" i="6"/>
  <c r="L249" i="6"/>
  <c r="N249" i="6"/>
  <c r="M249" i="6"/>
  <c r="P240" i="6"/>
  <c r="R219" i="6"/>
  <c r="Q219" i="6"/>
  <c r="K219" i="6"/>
  <c r="R181" i="6"/>
  <c r="Q181" i="6"/>
  <c r="I161" i="6"/>
  <c r="K162" i="6"/>
  <c r="L162" i="6"/>
  <c r="L90" i="6"/>
  <c r="O28" i="6"/>
  <c r="J27" i="6"/>
  <c r="O10" i="6"/>
  <c r="O89" i="6"/>
  <c r="N89" i="6"/>
  <c r="M89" i="6"/>
  <c r="J88" i="6"/>
  <c r="N68" i="6"/>
  <c r="J57" i="6"/>
  <c r="R50" i="6"/>
  <c r="H49" i="6"/>
  <c r="K50" i="6"/>
  <c r="Q50" i="6"/>
  <c r="H118" i="6"/>
  <c r="R119" i="6"/>
  <c r="Q119" i="6"/>
  <c r="L203" i="6"/>
  <c r="I202" i="6"/>
  <c r="K203" i="6"/>
  <c r="M203" i="6"/>
  <c r="N203" i="6"/>
  <c r="Q67" i="6"/>
  <c r="R67" i="6"/>
  <c r="Q57" i="6"/>
  <c r="H56" i="6"/>
  <c r="P30" i="6"/>
  <c r="N30" i="6"/>
  <c r="O30" i="6"/>
  <c r="K10" i="6"/>
  <c r="L10" i="6"/>
  <c r="I9" i="6"/>
  <c r="R191" i="6"/>
  <c r="Q191" i="6"/>
  <c r="N158" i="6"/>
  <c r="M158" i="6"/>
  <c r="J157" i="6"/>
  <c r="P158" i="6"/>
  <c r="R135" i="6"/>
  <c r="Q135" i="6"/>
  <c r="H134" i="6"/>
  <c r="P31" i="6"/>
  <c r="R18" i="6"/>
  <c r="Q18" i="6"/>
  <c r="Q10" i="6"/>
  <c r="AM45" i="5"/>
  <c r="AR53" i="5"/>
  <c r="AR48" i="5"/>
  <c r="AR46" i="5"/>
  <c r="AR40" i="5"/>
  <c r="AR38" i="5"/>
  <c r="AR32" i="5"/>
  <c r="AR24" i="5"/>
  <c r="AR23" i="5"/>
  <c r="AR21" i="5"/>
  <c r="AR54" i="5"/>
  <c r="AR50" i="5"/>
  <c r="AQ48" i="5"/>
  <c r="AR47" i="5"/>
  <c r="AR43" i="5"/>
  <c r="AR41" i="5"/>
  <c r="AR39" i="5"/>
  <c r="AR34" i="5"/>
  <c r="AR55" i="5"/>
  <c r="AR51" i="5"/>
  <c r="AP48" i="5"/>
  <c r="AR42" i="5"/>
  <c r="AR36" i="5"/>
  <c r="AR33" i="5"/>
  <c r="AR25" i="5"/>
  <c r="AR20" i="5"/>
  <c r="AR11" i="5"/>
  <c r="AR10" i="5"/>
  <c r="AR52" i="5"/>
  <c r="AR49" i="5"/>
  <c r="AR45" i="5"/>
  <c r="AR44" i="5"/>
  <c r="AR37" i="5"/>
  <c r="AR35" i="5"/>
  <c r="AR31" i="5"/>
  <c r="AR29" i="5"/>
  <c r="AR28" i="5"/>
  <c r="AR27" i="5"/>
  <c r="AR22" i="5"/>
  <c r="AR17" i="5"/>
  <c r="AR13" i="5"/>
  <c r="AR5" i="5"/>
  <c r="AR26" i="5"/>
  <c r="AR15" i="5"/>
  <c r="AR9" i="5"/>
  <c r="AR7" i="5"/>
  <c r="AR6" i="5"/>
  <c r="AR18" i="5"/>
  <c r="AR19" i="5"/>
  <c r="AR16" i="5"/>
  <c r="AR8" i="5"/>
  <c r="AN60" i="5"/>
  <c r="AN58" i="5"/>
  <c r="AS59" i="5"/>
  <c r="AS60" i="5"/>
  <c r="AS58" i="5"/>
  <c r="AJ48" i="5"/>
  <c r="AF48" i="5"/>
  <c r="AM47" i="5"/>
  <c r="AM41" i="5"/>
  <c r="AM39" i="5"/>
  <c r="AM30" i="5"/>
  <c r="AM48" i="5"/>
  <c r="AI48" i="5"/>
  <c r="AM42" i="5"/>
  <c r="AM40" i="5"/>
  <c r="AM36" i="5"/>
  <c r="AM33" i="5"/>
  <c r="AH48" i="5"/>
  <c r="AM44" i="5"/>
  <c r="AM37" i="5"/>
  <c r="AM35" i="5"/>
  <c r="AM31" i="5"/>
  <c r="AM29" i="5"/>
  <c r="AM28" i="5"/>
  <c r="AM27" i="5"/>
  <c r="AM22" i="5"/>
  <c r="AM21" i="5"/>
  <c r="AM17" i="5"/>
  <c r="AM13" i="5"/>
  <c r="AG48" i="5"/>
  <c r="AM24" i="5"/>
  <c r="AM23" i="5"/>
  <c r="AM16" i="5"/>
  <c r="AM20" i="5"/>
  <c r="AM18" i="5"/>
  <c r="AM10" i="5"/>
  <c r="AM9" i="5"/>
  <c r="AM6" i="5"/>
  <c r="AM5" i="5"/>
  <c r="AM15" i="5"/>
  <c r="AM8" i="5"/>
  <c r="AM25" i="5"/>
  <c r="AM11" i="5"/>
  <c r="AM7" i="5"/>
  <c r="AM19" i="5"/>
  <c r="AM46" i="5"/>
  <c r="AT60" i="5"/>
  <c r="AT58" i="5"/>
  <c r="AT59" i="5"/>
  <c r="AE48" i="5"/>
  <c r="AD48" i="5"/>
  <c r="AM14" i="5"/>
  <c r="AR30" i="5"/>
  <c r="AM38" i="5"/>
  <c r="AR14" i="5"/>
  <c r="AM32" i="5"/>
  <c r="AE54" i="5"/>
  <c r="AE50" i="5"/>
  <c r="AE55" i="5"/>
  <c r="AE51" i="5"/>
  <c r="AE52" i="5"/>
  <c r="AE49" i="5"/>
  <c r="AL48" i="5"/>
  <c r="AE53" i="5"/>
  <c r="AK48" i="5"/>
  <c r="AM12" i="5"/>
  <c r="AR12" i="5"/>
  <c r="AI7" i="4"/>
  <c r="Y20" i="4"/>
  <c r="BE86" i="4"/>
  <c r="BC82" i="4"/>
  <c r="BC65" i="4" s="1"/>
  <c r="BD86" i="4"/>
  <c r="W6" i="4"/>
  <c r="AG6" i="4"/>
  <c r="BQ6" i="4"/>
  <c r="BQ7" i="4"/>
  <c r="AP7" i="4"/>
  <c r="Z34" i="4"/>
  <c r="BL66" i="4"/>
  <c r="BK65" i="4"/>
  <c r="BE78" i="4"/>
  <c r="BO78" i="4"/>
  <c r="BN65" i="4"/>
  <c r="BE90" i="4"/>
  <c r="BD90" i="4"/>
  <c r="BM111" i="4"/>
  <c r="BL111" i="4"/>
  <c r="BE14" i="4"/>
  <c r="BC7" i="4"/>
  <c r="BE7" i="4" s="1"/>
  <c r="C20" i="4"/>
  <c r="C7" i="4" s="1"/>
  <c r="BD44" i="4"/>
  <c r="AV34" i="4"/>
  <c r="BL92" i="4"/>
  <c r="BH92" i="4"/>
  <c r="BR7" i="4"/>
  <c r="AH7" i="4"/>
  <c r="AT7" i="4"/>
  <c r="F6" i="4"/>
  <c r="F118" i="4" s="1"/>
  <c r="K6" i="4"/>
  <c r="O6" i="4"/>
  <c r="S6" i="4"/>
  <c r="X6" i="4"/>
  <c r="X118" i="4" s="1"/>
  <c r="AH6" i="4"/>
  <c r="AV6" i="4"/>
  <c r="AZ6" i="4"/>
  <c r="N7" i="4"/>
  <c r="AW7" i="4"/>
  <c r="AE7" i="4"/>
  <c r="AM7" i="4"/>
  <c r="BO20" i="4"/>
  <c r="BK7" i="4"/>
  <c r="BM7" i="4" s="1"/>
  <c r="BM24" i="4"/>
  <c r="BG20" i="4"/>
  <c r="BP48" i="4"/>
  <c r="BN34" i="4"/>
  <c r="BR34" i="4" s="1"/>
  <c r="BR6" i="4"/>
  <c r="AQ7" i="4"/>
  <c r="BH44" i="4"/>
  <c r="BF34" i="4"/>
  <c r="BH34" i="4" s="1"/>
  <c r="BJ44" i="4"/>
  <c r="AB6" i="4"/>
  <c r="BC6" i="4"/>
  <c r="BE6" i="4" s="1"/>
  <c r="BJ11" i="4"/>
  <c r="BF9" i="4"/>
  <c r="BI9" i="4" s="1"/>
  <c r="AL7" i="4"/>
  <c r="AC20" i="4"/>
  <c r="AC6" i="4" s="1"/>
  <c r="BE36" i="4"/>
  <c r="BC34" i="4"/>
  <c r="BD34" i="4" s="1"/>
  <c r="L6" i="4"/>
  <c r="T6" i="4"/>
  <c r="Z6" i="4"/>
  <c r="AE6" i="4"/>
  <c r="AE118" i="4" s="1"/>
  <c r="AI6" i="4"/>
  <c r="AM6" i="4"/>
  <c r="AR6" i="4"/>
  <c r="BM6" i="4"/>
  <c r="Z7" i="4"/>
  <c r="BL44" i="4"/>
  <c r="Y34" i="4"/>
  <c r="AL34" i="4"/>
  <c r="BJ86" i="4"/>
  <c r="BJ14" i="4"/>
  <c r="BE20" i="4"/>
  <c r="BP20" i="4"/>
  <c r="BD36" i="4"/>
  <c r="BI36" i="4"/>
  <c r="BO44" i="4"/>
  <c r="BJ48" i="4"/>
  <c r="BR48" i="4"/>
  <c r="BI63" i="4"/>
  <c r="BP66" i="4"/>
  <c r="BP69" i="4"/>
  <c r="BI78" i="4"/>
  <c r="BR78" i="4"/>
  <c r="BL82" i="4"/>
  <c r="BJ88" i="4"/>
  <c r="BM9" i="4"/>
  <c r="BG9" i="4"/>
  <c r="BR14" i="4"/>
  <c r="BR20" i="4"/>
  <c r="BF21" i="4"/>
  <c r="BP21" i="4"/>
  <c r="J20" i="4"/>
  <c r="AD20" i="4"/>
  <c r="AD7" i="4" s="1"/>
  <c r="BD24" i="4"/>
  <c r="BI27" i="4"/>
  <c r="BE27" i="4"/>
  <c r="BP27" i="4"/>
  <c r="AU20" i="4"/>
  <c r="U27" i="4"/>
  <c r="U20" i="4" s="1"/>
  <c r="U6" i="4" s="1"/>
  <c r="U118" i="4" s="1"/>
  <c r="BI31" i="4"/>
  <c r="BP31" i="4"/>
  <c r="BM36" i="4"/>
  <c r="BI48" i="4"/>
  <c r="BD88" i="4"/>
  <c r="BE9" i="4"/>
  <c r="BR9" i="4"/>
  <c r="BI12" i="4"/>
  <c r="BI14" i="4"/>
  <c r="BI22" i="4"/>
  <c r="BL24" i="4"/>
  <c r="BL48" i="4"/>
  <c r="BI65" i="4"/>
  <c r="BJ92" i="4"/>
  <c r="BG7" i="4"/>
  <c r="J7" i="4"/>
  <c r="J6" i="4"/>
  <c r="J118" i="4" s="1"/>
  <c r="Y7" i="4"/>
  <c r="Y6" i="4"/>
  <c r="AU7" i="4"/>
  <c r="AU6" i="4"/>
  <c r="U7" i="4"/>
  <c r="BO6" i="4"/>
  <c r="BO7" i="4"/>
  <c r="BO9" i="4"/>
  <c r="BI10" i="4"/>
  <c r="BL10" i="4"/>
  <c r="BI11" i="4"/>
  <c r="BL11" i="4"/>
  <c r="BH12" i="4"/>
  <c r="BD14" i="4"/>
  <c r="BH14" i="4"/>
  <c r="BL14" i="4"/>
  <c r="BD20" i="4"/>
  <c r="BD21" i="4"/>
  <c r="BH21" i="4"/>
  <c r="BL21" i="4"/>
  <c r="BH22" i="4"/>
  <c r="BI24" i="4"/>
  <c r="BO24" i="4"/>
  <c r="BD27" i="4"/>
  <c r="BH27" i="4"/>
  <c r="BL27" i="4"/>
  <c r="AN48" i="4"/>
  <c r="BD31" i="4"/>
  <c r="BH31" i="4"/>
  <c r="BL31" i="4"/>
  <c r="BI34" i="4"/>
  <c r="BL34" i="4"/>
  <c r="BP34" i="4"/>
  <c r="BP6" i="4"/>
  <c r="BP7" i="4"/>
  <c r="BP9" i="4"/>
  <c r="BH10" i="4"/>
  <c r="BH11" i="4"/>
  <c r="BM14" i="4"/>
  <c r="BM20" i="4"/>
  <c r="BM21" i="4"/>
  <c r="BH24" i="4"/>
  <c r="BJ24" i="4"/>
  <c r="BP24" i="4"/>
  <c r="BM27" i="4"/>
  <c r="AD48" i="4"/>
  <c r="AD34" i="4" s="1"/>
  <c r="BG48" i="4"/>
  <c r="BG34" i="4" s="1"/>
  <c r="BE31" i="4"/>
  <c r="BM31" i="4"/>
  <c r="BO34" i="4"/>
  <c r="BH36" i="4"/>
  <c r="BJ36" i="4"/>
  <c r="BL36" i="4"/>
  <c r="BP36" i="4"/>
  <c r="BR36" i="4"/>
  <c r="BP44" i="4"/>
  <c r="BR44" i="4"/>
  <c r="BE48" i="4"/>
  <c r="BM48" i="4"/>
  <c r="BO48" i="4"/>
  <c r="BJ53" i="4"/>
  <c r="E118" i="4"/>
  <c r="E8" i="4" s="1"/>
  <c r="G118" i="4"/>
  <c r="G8" i="4" s="1"/>
  <c r="I118" i="4"/>
  <c r="I35" i="4" s="1"/>
  <c r="K118" i="4"/>
  <c r="K8" i="4" s="1"/>
  <c r="M118" i="4"/>
  <c r="M8" i="4" s="1"/>
  <c r="O118" i="4"/>
  <c r="O8" i="4" s="1"/>
  <c r="Q118" i="4"/>
  <c r="Q8" i="4" s="1"/>
  <c r="S118" i="4"/>
  <c r="S8" i="4" s="1"/>
  <c r="W118" i="4"/>
  <c r="W8" i="4" s="1"/>
  <c r="Y118" i="4"/>
  <c r="Y35" i="4" s="1"/>
  <c r="AA118" i="4"/>
  <c r="AA8" i="4" s="1"/>
  <c r="AC118" i="4"/>
  <c r="AC35" i="4" s="1"/>
  <c r="AG118" i="4"/>
  <c r="AG35" i="4" s="1"/>
  <c r="AI118" i="4"/>
  <c r="AI8" i="4" s="1"/>
  <c r="AK118" i="4"/>
  <c r="AK35" i="4" s="1"/>
  <c r="AM118" i="4"/>
  <c r="AO118" i="4"/>
  <c r="AO8" i="4" s="1"/>
  <c r="AQ118" i="4"/>
  <c r="AQ8" i="4" s="1"/>
  <c r="AS118" i="4"/>
  <c r="AS8" i="4" s="1"/>
  <c r="AU118" i="4"/>
  <c r="AU35" i="4" s="1"/>
  <c r="AW118" i="4"/>
  <c r="AW8" i="4" s="1"/>
  <c r="AY118" i="4"/>
  <c r="AY8" i="4" s="1"/>
  <c r="BA118" i="4"/>
  <c r="BA8" i="4" s="1"/>
  <c r="BQ118" i="4"/>
  <c r="BQ64" i="4" s="1"/>
  <c r="G64" i="4"/>
  <c r="I64" i="4"/>
  <c r="O64" i="4"/>
  <c r="Q64" i="4"/>
  <c r="W64" i="4"/>
  <c r="Y64" i="4"/>
  <c r="AG64" i="4"/>
  <c r="BM34" i="4"/>
  <c r="BH48" i="4"/>
  <c r="BH53" i="4"/>
  <c r="D118" i="4"/>
  <c r="D8" i="4" s="1"/>
  <c r="H118" i="4"/>
  <c r="H8" i="4" s="1"/>
  <c r="L118" i="4"/>
  <c r="L8" i="4" s="1"/>
  <c r="N118" i="4"/>
  <c r="P118" i="4"/>
  <c r="P8" i="4" s="1"/>
  <c r="R118" i="4"/>
  <c r="R8" i="4" s="1"/>
  <c r="T118" i="4"/>
  <c r="T8" i="4" s="1"/>
  <c r="V118" i="4"/>
  <c r="V8" i="4" s="1"/>
  <c r="Z118" i="4"/>
  <c r="Z8" i="4" s="1"/>
  <c r="AB118" i="4"/>
  <c r="AB35" i="4" s="1"/>
  <c r="AF118" i="4"/>
  <c r="AF8" i="4" s="1"/>
  <c r="AH118" i="4"/>
  <c r="AH8" i="4" s="1"/>
  <c r="AJ118" i="4"/>
  <c r="AJ8" i="4" s="1"/>
  <c r="AL118" i="4"/>
  <c r="AL8" i="4" s="1"/>
  <c r="AP118" i="4"/>
  <c r="AP35" i="4" s="1"/>
  <c r="AR118" i="4"/>
  <c r="AR8" i="4" s="1"/>
  <c r="AT118" i="4"/>
  <c r="AT35" i="4" s="1"/>
  <c r="AV118" i="4"/>
  <c r="AV64" i="4" s="1"/>
  <c r="AX118" i="4"/>
  <c r="AX35" i="4" s="1"/>
  <c r="AZ118" i="4"/>
  <c r="AZ8" i="4" s="1"/>
  <c r="BB118" i="4"/>
  <c r="BB35" i="4" s="1"/>
  <c r="BH63" i="4"/>
  <c r="D64" i="4"/>
  <c r="H64" i="4"/>
  <c r="L64" i="4"/>
  <c r="N64" i="4"/>
  <c r="P64" i="4"/>
  <c r="R64" i="4"/>
  <c r="T64" i="4"/>
  <c r="V64" i="4"/>
  <c r="Z64" i="4"/>
  <c r="AB64" i="4"/>
  <c r="AF64" i="4"/>
  <c r="AH64" i="4"/>
  <c r="AP64" i="4"/>
  <c r="AX64" i="4"/>
  <c r="BH65" i="4"/>
  <c r="BL65" i="4"/>
  <c r="BP65" i="4"/>
  <c r="BR65" i="4"/>
  <c r="BE66" i="4"/>
  <c r="BI66" i="4"/>
  <c r="BM66" i="4"/>
  <c r="BO66" i="4"/>
  <c r="BE69" i="4"/>
  <c r="BI69" i="4"/>
  <c r="BM69" i="4"/>
  <c r="BO69" i="4"/>
  <c r="BD78" i="4"/>
  <c r="BH78" i="4"/>
  <c r="BJ78" i="4"/>
  <c r="BL78" i="4"/>
  <c r="BP78" i="4"/>
  <c r="BI82" i="4"/>
  <c r="BO82" i="4"/>
  <c r="BH90" i="4"/>
  <c r="BJ90" i="4"/>
  <c r="BH91" i="4"/>
  <c r="BJ91" i="4"/>
  <c r="BD92" i="4"/>
  <c r="BI92" i="4"/>
  <c r="BO111" i="4"/>
  <c r="BH66" i="4"/>
  <c r="BH69" i="4"/>
  <c r="BH82" i="4"/>
  <c r="BJ82" i="4"/>
  <c r="BP82" i="4"/>
  <c r="BI90" i="4"/>
  <c r="BI91" i="4"/>
  <c r="BE92" i="4"/>
  <c r="BP111" i="4"/>
  <c r="R306" i="6" l="1"/>
  <c r="K306" i="6"/>
  <c r="Q306" i="6"/>
  <c r="L306" i="6"/>
  <c r="H161" i="6"/>
  <c r="Q161" i="6" s="1"/>
  <c r="Q162" i="6"/>
  <c r="L181" i="6"/>
  <c r="K181" i="6"/>
  <c r="L243" i="6"/>
  <c r="N243" i="6"/>
  <c r="K243" i="6"/>
  <c r="M243" i="6"/>
  <c r="G355" i="6"/>
  <c r="M157" i="6"/>
  <c r="P157" i="6"/>
  <c r="J156" i="6"/>
  <c r="N157" i="6"/>
  <c r="H48" i="6"/>
  <c r="Q49" i="6"/>
  <c r="R49" i="6"/>
  <c r="L49" i="6"/>
  <c r="K49" i="6"/>
  <c r="L151" i="6"/>
  <c r="I150" i="6"/>
  <c r="K151" i="6"/>
  <c r="M151" i="6"/>
  <c r="N151" i="6"/>
  <c r="O210" i="6"/>
  <c r="N210" i="6"/>
  <c r="M210" i="6"/>
  <c r="J209" i="6"/>
  <c r="N346" i="6"/>
  <c r="M346" i="6"/>
  <c r="P346" i="6"/>
  <c r="N162" i="6"/>
  <c r="M162" i="6"/>
  <c r="P162" i="6"/>
  <c r="J161" i="6"/>
  <c r="L282" i="6"/>
  <c r="K282" i="6"/>
  <c r="Q8" i="6"/>
  <c r="H7" i="6"/>
  <c r="R8" i="6"/>
  <c r="I334" i="6"/>
  <c r="N215" i="6"/>
  <c r="P215" i="6"/>
  <c r="M215" i="6"/>
  <c r="I326" i="6"/>
  <c r="L9" i="6"/>
  <c r="I8" i="6"/>
  <c r="K9" i="6"/>
  <c r="H55" i="6"/>
  <c r="R56" i="6"/>
  <c r="Q56" i="6"/>
  <c r="N57" i="6"/>
  <c r="J56" i="6"/>
  <c r="M57" i="6"/>
  <c r="P57" i="6"/>
  <c r="H210" i="6"/>
  <c r="P210" i="6" s="1"/>
  <c r="Q211" i="6"/>
  <c r="Q173" i="6"/>
  <c r="R173" i="6"/>
  <c r="O253" i="6"/>
  <c r="P253" i="6"/>
  <c r="N253" i="6"/>
  <c r="M253" i="6"/>
  <c r="K175" i="6"/>
  <c r="L175" i="6"/>
  <c r="I174" i="6"/>
  <c r="H88" i="6"/>
  <c r="R89" i="6"/>
  <c r="Q89" i="6"/>
  <c r="L211" i="6"/>
  <c r="Q202" i="6"/>
  <c r="H201" i="6"/>
  <c r="R202" i="6"/>
  <c r="P202" i="6"/>
  <c r="L30" i="6"/>
  <c r="K30" i="6"/>
  <c r="Q44" i="6"/>
  <c r="R44" i="6"/>
  <c r="H43" i="6"/>
  <c r="K44" i="6"/>
  <c r="K120" i="6"/>
  <c r="I119" i="6"/>
  <c r="L120" i="6"/>
  <c r="Q167" i="6"/>
  <c r="H166" i="6"/>
  <c r="Q166" i="6" s="1"/>
  <c r="O312" i="6"/>
  <c r="N312" i="6"/>
  <c r="M312" i="6"/>
  <c r="J311" i="6"/>
  <c r="P312" i="6"/>
  <c r="N327" i="6"/>
  <c r="L350" i="6"/>
  <c r="K350" i="6"/>
  <c r="L107" i="6"/>
  <c r="I106" i="6"/>
  <c r="K107" i="6"/>
  <c r="M107" i="6"/>
  <c r="N107" i="6"/>
  <c r="O200" i="6"/>
  <c r="K226" i="6"/>
  <c r="I225" i="6"/>
  <c r="N225" i="6" s="1"/>
  <c r="L226" i="6"/>
  <c r="M9" i="6"/>
  <c r="M169" i="6"/>
  <c r="P169" i="6"/>
  <c r="J168" i="6"/>
  <c r="N169" i="6"/>
  <c r="O175" i="6"/>
  <c r="N175" i="6"/>
  <c r="P175" i="6"/>
  <c r="M175" i="6"/>
  <c r="L260" i="6"/>
  <c r="K260" i="6"/>
  <c r="I259" i="6"/>
  <c r="Q292" i="6"/>
  <c r="H291" i="6"/>
  <c r="R292" i="6"/>
  <c r="M30" i="6"/>
  <c r="P89" i="6"/>
  <c r="O27" i="6"/>
  <c r="L157" i="6"/>
  <c r="I156" i="6"/>
  <c r="K157" i="6"/>
  <c r="H276" i="6"/>
  <c r="Q276" i="6" s="1"/>
  <c r="Q277" i="6"/>
  <c r="N276" i="6"/>
  <c r="M276" i="6"/>
  <c r="K192" i="6"/>
  <c r="L192" i="6"/>
  <c r="I191" i="6"/>
  <c r="P211" i="6"/>
  <c r="P293" i="6"/>
  <c r="N293" i="6"/>
  <c r="M293" i="6"/>
  <c r="J292" i="6"/>
  <c r="O293" i="6"/>
  <c r="K312" i="6"/>
  <c r="L312" i="6"/>
  <c r="I311" i="6"/>
  <c r="O225" i="6"/>
  <c r="M225" i="6"/>
  <c r="J224" i="6"/>
  <c r="N50" i="6"/>
  <c r="M50" i="6"/>
  <c r="J49" i="6"/>
  <c r="P50" i="6"/>
  <c r="O50" i="6"/>
  <c r="L98" i="6"/>
  <c r="K98" i="6"/>
  <c r="N99" i="6"/>
  <c r="M99" i="6"/>
  <c r="P99" i="6"/>
  <c r="J98" i="6"/>
  <c r="N284" i="6"/>
  <c r="M284" i="6"/>
  <c r="J282" i="6"/>
  <c r="P284" i="6"/>
  <c r="J283" i="6"/>
  <c r="Q106" i="6"/>
  <c r="R106" i="6"/>
  <c r="H105" i="6"/>
  <c r="J259" i="6"/>
  <c r="L283" i="6"/>
  <c r="I281" i="6"/>
  <c r="K283" i="6"/>
  <c r="L293" i="6"/>
  <c r="I292" i="6"/>
  <c r="K293" i="6"/>
  <c r="M42" i="6"/>
  <c r="J41" i="6"/>
  <c r="O42" i="6"/>
  <c r="H150" i="6"/>
  <c r="R151" i="6"/>
  <c r="Q151" i="6"/>
  <c r="P151" i="6"/>
  <c r="O192" i="6"/>
  <c r="N192" i="6"/>
  <c r="M192" i="6"/>
  <c r="J191" i="6"/>
  <c r="P192" i="6"/>
  <c r="N9" i="6"/>
  <c r="Q29" i="6"/>
  <c r="P29" i="6"/>
  <c r="R29" i="6"/>
  <c r="H28" i="6"/>
  <c r="R253" i="6"/>
  <c r="Q253" i="6"/>
  <c r="J336" i="6"/>
  <c r="H133" i="6"/>
  <c r="R134" i="6"/>
  <c r="Q134" i="6"/>
  <c r="P88" i="6"/>
  <c r="J87" i="6"/>
  <c r="O88" i="6"/>
  <c r="L161" i="6"/>
  <c r="K161" i="6"/>
  <c r="I41" i="6"/>
  <c r="M136" i="6"/>
  <c r="J135" i="6"/>
  <c r="P136" i="6"/>
  <c r="O136" i="6"/>
  <c r="N136" i="6"/>
  <c r="R342" i="6"/>
  <c r="Q342" i="6"/>
  <c r="H336" i="6"/>
  <c r="L342" i="6"/>
  <c r="P342" i="6"/>
  <c r="K342" i="6"/>
  <c r="O326" i="6"/>
  <c r="N326" i="6"/>
  <c r="M326" i="6"/>
  <c r="J325" i="6"/>
  <c r="H328" i="6"/>
  <c r="R329" i="6"/>
  <c r="Q329" i="6"/>
  <c r="K329" i="6"/>
  <c r="P329" i="6"/>
  <c r="L329" i="6"/>
  <c r="N350" i="6"/>
  <c r="M350" i="6"/>
  <c r="P350" i="6"/>
  <c r="L202" i="6"/>
  <c r="I201" i="6"/>
  <c r="K202" i="6"/>
  <c r="N202" i="6"/>
  <c r="M202" i="6"/>
  <c r="Q118" i="6"/>
  <c r="R118" i="6"/>
  <c r="Q310" i="6"/>
  <c r="R310" i="6"/>
  <c r="R174" i="6"/>
  <c r="L210" i="6"/>
  <c r="I209" i="6"/>
  <c r="N121" i="6"/>
  <c r="M121" i="6"/>
  <c r="J120" i="6"/>
  <c r="P121" i="6"/>
  <c r="N29" i="6"/>
  <c r="L29" i="6"/>
  <c r="I28" i="6"/>
  <c r="K29" i="6"/>
  <c r="M29" i="6"/>
  <c r="N182" i="6"/>
  <c r="P182" i="6"/>
  <c r="J181" i="6"/>
  <c r="M182" i="6"/>
  <c r="N219" i="6"/>
  <c r="M219" i="6"/>
  <c r="P219" i="6"/>
  <c r="O219" i="6"/>
  <c r="M327" i="6"/>
  <c r="K89" i="6"/>
  <c r="I88" i="6"/>
  <c r="M88" i="6" s="1"/>
  <c r="L89" i="6"/>
  <c r="K56" i="6"/>
  <c r="I55" i="6"/>
  <c r="L56" i="6"/>
  <c r="L136" i="6"/>
  <c r="I135" i="6"/>
  <c r="K136" i="6"/>
  <c r="R226" i="6"/>
  <c r="H225" i="6"/>
  <c r="P225" i="6" s="1"/>
  <c r="Q226" i="6"/>
  <c r="M106" i="6"/>
  <c r="J105" i="6"/>
  <c r="P106" i="6"/>
  <c r="N106" i="6"/>
  <c r="O106" i="6"/>
  <c r="Q260" i="6"/>
  <c r="M8" i="6"/>
  <c r="J7" i="6"/>
  <c r="P8" i="6"/>
  <c r="O8" i="6"/>
  <c r="N8" i="6"/>
  <c r="L67" i="6"/>
  <c r="K67" i="6"/>
  <c r="N67" i="6"/>
  <c r="M67" i="6"/>
  <c r="Q30" i="6"/>
  <c r="R30" i="6"/>
  <c r="L169" i="6"/>
  <c r="K169" i="6"/>
  <c r="I168" i="6"/>
  <c r="U35" i="4"/>
  <c r="U64" i="4"/>
  <c r="F8" i="4"/>
  <c r="F64" i="4"/>
  <c r="J35" i="4"/>
  <c r="J64" i="4"/>
  <c r="X35" i="4"/>
  <c r="X64" i="4"/>
  <c r="BE65" i="4"/>
  <c r="BC63" i="4"/>
  <c r="BJ65" i="4"/>
  <c r="BD65" i="4"/>
  <c r="AE8" i="4"/>
  <c r="AE64" i="4"/>
  <c r="BJ9" i="4"/>
  <c r="C6" i="4"/>
  <c r="C118" i="4" s="1"/>
  <c r="BE82" i="4"/>
  <c r="BD82" i="4"/>
  <c r="AC64" i="4"/>
  <c r="M64" i="4"/>
  <c r="E64" i="4"/>
  <c r="BE34" i="4"/>
  <c r="BH9" i="4"/>
  <c r="BD6" i="4"/>
  <c r="BL9" i="4"/>
  <c r="N8" i="4"/>
  <c r="AA64" i="4"/>
  <c r="S64" i="4"/>
  <c r="K64" i="4"/>
  <c r="AM8" i="4"/>
  <c r="BJ34" i="4"/>
  <c r="BJ21" i="4"/>
  <c r="BF20" i="4"/>
  <c r="BI21" i="4"/>
  <c r="BD7" i="4"/>
  <c r="AC7" i="4"/>
  <c r="BO65" i="4"/>
  <c r="BN63" i="4"/>
  <c r="BM65" i="4"/>
  <c r="BK63" i="4"/>
  <c r="BB64" i="4"/>
  <c r="AT64" i="4"/>
  <c r="AL64" i="4"/>
  <c r="BQ8" i="4"/>
  <c r="BA64" i="4"/>
  <c r="AY64" i="4"/>
  <c r="AW64" i="4"/>
  <c r="AU64" i="4"/>
  <c r="AS64" i="4"/>
  <c r="AQ64" i="4"/>
  <c r="AO64" i="4"/>
  <c r="AM64" i="4"/>
  <c r="AK64" i="4"/>
  <c r="AI64" i="4"/>
  <c r="AZ64" i="4"/>
  <c r="AR64" i="4"/>
  <c r="AJ64" i="4"/>
  <c r="AY35" i="4"/>
  <c r="AQ35" i="4"/>
  <c r="AM35" i="4"/>
  <c r="AI35" i="4"/>
  <c r="AE35" i="4"/>
  <c r="AA35" i="4"/>
  <c r="W35" i="4"/>
  <c r="S35" i="4"/>
  <c r="O35" i="4"/>
  <c r="K35" i="4"/>
  <c r="G35" i="4"/>
  <c r="AZ35" i="4"/>
  <c r="AV35" i="4"/>
  <c r="AR35" i="4"/>
  <c r="AL35" i="4"/>
  <c r="AH35" i="4"/>
  <c r="AV8" i="4"/>
  <c r="Z35" i="4"/>
  <c r="V35" i="4"/>
  <c r="R35" i="4"/>
  <c r="N35" i="4"/>
  <c r="F35" i="4"/>
  <c r="AT8" i="4"/>
  <c r="AP8" i="4"/>
  <c r="AC8" i="4"/>
  <c r="X8" i="4"/>
  <c r="AD6" i="4"/>
  <c r="AD118" i="4" s="1"/>
  <c r="AD64" i="4" s="1"/>
  <c r="BG6" i="4"/>
  <c r="BG118" i="4" s="1"/>
  <c r="BG64" i="4" s="1"/>
  <c r="BB8" i="4"/>
  <c r="AX8" i="4"/>
  <c r="AK8" i="4"/>
  <c r="AG8" i="4"/>
  <c r="AB8" i="4"/>
  <c r="BQ35" i="4"/>
  <c r="BA35" i="4"/>
  <c r="AW35" i="4"/>
  <c r="AS35" i="4"/>
  <c r="AO35" i="4"/>
  <c r="Q35" i="4"/>
  <c r="M35" i="4"/>
  <c r="E35" i="4"/>
  <c r="AJ35" i="4"/>
  <c r="AF35" i="4"/>
  <c r="AN6" i="4"/>
  <c r="AN118" i="4" s="1"/>
  <c r="AN34" i="4"/>
  <c r="AN35" i="4" s="1"/>
  <c r="T35" i="4"/>
  <c r="P35" i="4"/>
  <c r="L35" i="4"/>
  <c r="H35" i="4"/>
  <c r="D35" i="4"/>
  <c r="U8" i="4"/>
  <c r="AU8" i="4"/>
  <c r="Y8" i="4"/>
  <c r="AD8" i="4"/>
  <c r="J8" i="4"/>
  <c r="K210" i="6" l="1"/>
  <c r="L276" i="6"/>
  <c r="P276" i="6"/>
  <c r="K276" i="6"/>
  <c r="H259" i="6"/>
  <c r="L55" i="6"/>
  <c r="K55" i="6"/>
  <c r="I47" i="6"/>
  <c r="P181" i="6"/>
  <c r="O181" i="6"/>
  <c r="N181" i="6"/>
  <c r="M181" i="6"/>
  <c r="O325" i="6"/>
  <c r="H335" i="6"/>
  <c r="R336" i="6"/>
  <c r="Q336" i="6"/>
  <c r="L336" i="6"/>
  <c r="K336" i="6"/>
  <c r="J86" i="6"/>
  <c r="O87" i="6"/>
  <c r="K281" i="6"/>
  <c r="L281" i="6"/>
  <c r="P282" i="6"/>
  <c r="N282" i="6"/>
  <c r="M282" i="6"/>
  <c r="M98" i="6"/>
  <c r="P98" i="6"/>
  <c r="N98" i="6"/>
  <c r="L8" i="6"/>
  <c r="I7" i="6"/>
  <c r="K8" i="6"/>
  <c r="Q259" i="6"/>
  <c r="H258" i="6"/>
  <c r="R259" i="6"/>
  <c r="L135" i="6"/>
  <c r="I134" i="6"/>
  <c r="K135" i="6"/>
  <c r="R133" i="6"/>
  <c r="Q133" i="6"/>
  <c r="R28" i="6"/>
  <c r="Q28" i="6"/>
  <c r="H27" i="6"/>
  <c r="P28" i="6"/>
  <c r="O41" i="6"/>
  <c r="M41" i="6"/>
  <c r="K292" i="6"/>
  <c r="L292" i="6"/>
  <c r="I291" i="6"/>
  <c r="O49" i="6"/>
  <c r="P49" i="6"/>
  <c r="N49" i="6"/>
  <c r="M49" i="6"/>
  <c r="J48" i="6"/>
  <c r="L191" i="6"/>
  <c r="K191" i="6"/>
  <c r="R291" i="6"/>
  <c r="Q291" i="6"/>
  <c r="H290" i="6"/>
  <c r="P168" i="6"/>
  <c r="J167" i="6"/>
  <c r="N168" i="6"/>
  <c r="M168" i="6"/>
  <c r="L106" i="6"/>
  <c r="I105" i="6"/>
  <c r="N105" i="6" s="1"/>
  <c r="K106" i="6"/>
  <c r="R201" i="6"/>
  <c r="Q201" i="6"/>
  <c r="H200" i="6"/>
  <c r="P201" i="6"/>
  <c r="R7" i="6"/>
  <c r="Q7" i="6"/>
  <c r="M161" i="6"/>
  <c r="N161" i="6"/>
  <c r="P161" i="6"/>
  <c r="R48" i="6"/>
  <c r="Q48" i="6"/>
  <c r="H47" i="6"/>
  <c r="L48" i="6"/>
  <c r="K48" i="6"/>
  <c r="L168" i="6"/>
  <c r="K168" i="6"/>
  <c r="I167" i="6"/>
  <c r="L28" i="6"/>
  <c r="I27" i="6"/>
  <c r="K28" i="6"/>
  <c r="M28" i="6"/>
  <c r="N28" i="6"/>
  <c r="I208" i="6"/>
  <c r="Q328" i="6"/>
  <c r="H327" i="6"/>
  <c r="R328" i="6"/>
  <c r="P328" i="6"/>
  <c r="L328" i="6"/>
  <c r="K328" i="6"/>
  <c r="O336" i="6"/>
  <c r="N336" i="6"/>
  <c r="M336" i="6"/>
  <c r="J335" i="6"/>
  <c r="P336" i="6"/>
  <c r="M259" i="6"/>
  <c r="P259" i="6"/>
  <c r="N259" i="6"/>
  <c r="J258" i="6"/>
  <c r="O259" i="6"/>
  <c r="M283" i="6"/>
  <c r="J281" i="6"/>
  <c r="P283" i="6"/>
  <c r="N283" i="6"/>
  <c r="J174" i="6"/>
  <c r="Q43" i="6"/>
  <c r="H42" i="6"/>
  <c r="R43" i="6"/>
  <c r="K43" i="6"/>
  <c r="R88" i="6"/>
  <c r="Q88" i="6"/>
  <c r="H87" i="6"/>
  <c r="H209" i="6"/>
  <c r="L209" i="6" s="1"/>
  <c r="R210" i="6"/>
  <c r="Q210" i="6"/>
  <c r="O56" i="6"/>
  <c r="M56" i="6"/>
  <c r="J55" i="6"/>
  <c r="P56" i="6"/>
  <c r="N56" i="6"/>
  <c r="Q55" i="6"/>
  <c r="R55" i="6"/>
  <c r="I333" i="6"/>
  <c r="P209" i="6"/>
  <c r="O209" i="6"/>
  <c r="N209" i="6"/>
  <c r="M209" i="6"/>
  <c r="J208" i="6"/>
  <c r="H224" i="6"/>
  <c r="R225" i="6"/>
  <c r="Q225" i="6"/>
  <c r="O120" i="6"/>
  <c r="N120" i="6"/>
  <c r="M120" i="6"/>
  <c r="J119" i="6"/>
  <c r="P120" i="6"/>
  <c r="N7" i="6"/>
  <c r="P7" i="6"/>
  <c r="O7" i="6"/>
  <c r="J104" i="6"/>
  <c r="O105" i="6"/>
  <c r="P105" i="6"/>
  <c r="L88" i="6"/>
  <c r="I87" i="6"/>
  <c r="K88" i="6"/>
  <c r="L201" i="6"/>
  <c r="I200" i="6"/>
  <c r="K201" i="6"/>
  <c r="M201" i="6"/>
  <c r="N201" i="6"/>
  <c r="N135" i="6"/>
  <c r="M135" i="6"/>
  <c r="J134" i="6"/>
  <c r="P135" i="6"/>
  <c r="O135" i="6"/>
  <c r="N88" i="6"/>
  <c r="P191" i="6"/>
  <c r="O191" i="6"/>
  <c r="N191" i="6"/>
  <c r="M191" i="6"/>
  <c r="Q150" i="6"/>
  <c r="H149" i="6"/>
  <c r="R150" i="6"/>
  <c r="P150" i="6"/>
  <c r="R105" i="6"/>
  <c r="Q105" i="6"/>
  <c r="H104" i="6"/>
  <c r="P224" i="6"/>
  <c r="O224" i="6"/>
  <c r="L311" i="6"/>
  <c r="I310" i="6"/>
  <c r="K311" i="6"/>
  <c r="M292" i="6"/>
  <c r="J291" i="6"/>
  <c r="P292" i="6"/>
  <c r="O292" i="6"/>
  <c r="N292" i="6"/>
  <c r="L156" i="6"/>
  <c r="K156" i="6"/>
  <c r="L259" i="6"/>
  <c r="I258" i="6"/>
  <c r="K259" i="6"/>
  <c r="K225" i="6"/>
  <c r="L225" i="6"/>
  <c r="I224" i="6"/>
  <c r="P311" i="6"/>
  <c r="O311" i="6"/>
  <c r="M311" i="6"/>
  <c r="J310" i="6"/>
  <c r="N311" i="6"/>
  <c r="L119" i="6"/>
  <c r="I118" i="6"/>
  <c r="K119" i="6"/>
  <c r="L174" i="6"/>
  <c r="I173" i="6"/>
  <c r="K174" i="6"/>
  <c r="I325" i="6"/>
  <c r="M325" i="6" s="1"/>
  <c r="L150" i="6"/>
  <c r="I149" i="6"/>
  <c r="K150" i="6"/>
  <c r="M150" i="6"/>
  <c r="N150" i="6"/>
  <c r="P156" i="6"/>
  <c r="N156" i="6"/>
  <c r="M156" i="6"/>
  <c r="J149" i="6"/>
  <c r="C35" i="4"/>
  <c r="C64" i="4"/>
  <c r="BJ20" i="4"/>
  <c r="BI20" i="4"/>
  <c r="BH20" i="4"/>
  <c r="BL20" i="4"/>
  <c r="BF6" i="4"/>
  <c r="BN118" i="4"/>
  <c r="BO63" i="4"/>
  <c r="BP63" i="4"/>
  <c r="BR63" i="4"/>
  <c r="BM63" i="4"/>
  <c r="BL63" i="4"/>
  <c r="BK118" i="4"/>
  <c r="BF7" i="4"/>
  <c r="BC118" i="4"/>
  <c r="BJ63" i="4"/>
  <c r="BE63" i="4"/>
  <c r="BD63" i="4"/>
  <c r="C8" i="4"/>
  <c r="BG8" i="4"/>
  <c r="AN8" i="4"/>
  <c r="AN64" i="4"/>
  <c r="AD35" i="4"/>
  <c r="BG35" i="4"/>
  <c r="L149" i="6" l="1"/>
  <c r="I148" i="6"/>
  <c r="K149" i="6"/>
  <c r="L310" i="6"/>
  <c r="K310" i="6"/>
  <c r="L87" i="6"/>
  <c r="K87" i="6"/>
  <c r="I86" i="6"/>
  <c r="P55" i="6"/>
  <c r="O55" i="6"/>
  <c r="N55" i="6"/>
  <c r="M55" i="6"/>
  <c r="R42" i="6"/>
  <c r="H41" i="6"/>
  <c r="Q42" i="6"/>
  <c r="K42" i="6"/>
  <c r="L224" i="6"/>
  <c r="K224" i="6"/>
  <c r="L258" i="6"/>
  <c r="K258" i="6"/>
  <c r="I257" i="6"/>
  <c r="N291" i="6"/>
  <c r="M291" i="6"/>
  <c r="J290" i="6"/>
  <c r="P291" i="6"/>
  <c r="O291" i="6"/>
  <c r="K200" i="6"/>
  <c r="L200" i="6"/>
  <c r="N200" i="6"/>
  <c r="M200" i="6"/>
  <c r="O104" i="6"/>
  <c r="P104" i="6"/>
  <c r="P281" i="6"/>
  <c r="N281" i="6"/>
  <c r="M281" i="6"/>
  <c r="R200" i="6"/>
  <c r="Q200" i="6"/>
  <c r="P200" i="6"/>
  <c r="P48" i="6"/>
  <c r="M48" i="6"/>
  <c r="J47" i="6"/>
  <c r="N48" i="6"/>
  <c r="O48" i="6"/>
  <c r="L173" i="6"/>
  <c r="K173" i="6"/>
  <c r="M224" i="6"/>
  <c r="M105" i="6"/>
  <c r="R224" i="6"/>
  <c r="Q224" i="6"/>
  <c r="H208" i="6"/>
  <c r="Q209" i="6"/>
  <c r="R209" i="6"/>
  <c r="P174" i="6"/>
  <c r="O174" i="6"/>
  <c r="M174" i="6"/>
  <c r="J173" i="6"/>
  <c r="N174" i="6"/>
  <c r="M258" i="6"/>
  <c r="J257" i="6"/>
  <c r="O258" i="6"/>
  <c r="N258" i="6"/>
  <c r="P258" i="6"/>
  <c r="K209" i="6"/>
  <c r="K167" i="6"/>
  <c r="I166" i="6"/>
  <c r="L167" i="6"/>
  <c r="P167" i="6"/>
  <c r="J166" i="6"/>
  <c r="N167" i="6"/>
  <c r="M167" i="6"/>
  <c r="R27" i="6"/>
  <c r="Q27" i="6"/>
  <c r="P27" i="6"/>
  <c r="L7" i="6"/>
  <c r="K7" i="6"/>
  <c r="N87" i="6"/>
  <c r="N86" i="6"/>
  <c r="J85" i="6"/>
  <c r="O86" i="6"/>
  <c r="N325" i="6"/>
  <c r="N224" i="6"/>
  <c r="H103" i="6"/>
  <c r="R104" i="6"/>
  <c r="Q104" i="6"/>
  <c r="O134" i="6"/>
  <c r="N134" i="6"/>
  <c r="M134" i="6"/>
  <c r="J133" i="6"/>
  <c r="P134" i="6"/>
  <c r="M7" i="6"/>
  <c r="P119" i="6"/>
  <c r="O119" i="6"/>
  <c r="J118" i="6"/>
  <c r="N119" i="6"/>
  <c r="M119" i="6"/>
  <c r="M208" i="6"/>
  <c r="J207" i="6"/>
  <c r="P208" i="6"/>
  <c r="N208" i="6"/>
  <c r="O208" i="6"/>
  <c r="Q87" i="6"/>
  <c r="R87" i="6"/>
  <c r="H86" i="6"/>
  <c r="P335" i="6"/>
  <c r="O335" i="6"/>
  <c r="N335" i="6"/>
  <c r="M335" i="6"/>
  <c r="J334" i="6"/>
  <c r="Q47" i="6"/>
  <c r="R47" i="6"/>
  <c r="H6" i="6"/>
  <c r="L291" i="6"/>
  <c r="I290" i="6"/>
  <c r="K291" i="6"/>
  <c r="Q258" i="6"/>
  <c r="R258" i="6"/>
  <c r="H257" i="6"/>
  <c r="P87" i="6"/>
  <c r="M87" i="6"/>
  <c r="L47" i="6"/>
  <c r="K47" i="6"/>
  <c r="I6" i="6"/>
  <c r="M310" i="6"/>
  <c r="P310" i="6"/>
  <c r="O310" i="6"/>
  <c r="N310" i="6"/>
  <c r="R327" i="6"/>
  <c r="Q327" i="6"/>
  <c r="H326" i="6"/>
  <c r="P327" i="6"/>
  <c r="K327" i="6"/>
  <c r="L327" i="6"/>
  <c r="K27" i="6"/>
  <c r="L27" i="6"/>
  <c r="N27" i="6"/>
  <c r="M27" i="6"/>
  <c r="H289" i="6"/>
  <c r="R290" i="6"/>
  <c r="Q290" i="6"/>
  <c r="K134" i="6"/>
  <c r="L134" i="6"/>
  <c r="I133" i="6"/>
  <c r="H334" i="6"/>
  <c r="R335" i="6"/>
  <c r="Q335" i="6"/>
  <c r="L335" i="6"/>
  <c r="K335" i="6"/>
  <c r="N149" i="6"/>
  <c r="M149" i="6"/>
  <c r="J148" i="6"/>
  <c r="P149" i="6"/>
  <c r="O149" i="6"/>
  <c r="R149" i="6"/>
  <c r="Q149" i="6"/>
  <c r="H148" i="6"/>
  <c r="L118" i="6"/>
  <c r="K118" i="6"/>
  <c r="K105" i="6"/>
  <c r="L105" i="6"/>
  <c r="I104" i="6"/>
  <c r="M104" i="6" s="1"/>
  <c r="BL6" i="4"/>
  <c r="BJ6" i="4"/>
  <c r="BF118" i="4"/>
  <c r="BH6" i="4"/>
  <c r="BI6" i="4"/>
  <c r="BC35" i="4"/>
  <c r="BD118" i="4"/>
  <c r="BC8" i="4"/>
  <c r="BE118" i="4"/>
  <c r="BC64" i="4"/>
  <c r="BN8" i="4"/>
  <c r="BP118" i="4"/>
  <c r="BO118" i="4"/>
  <c r="BN35" i="4"/>
  <c r="BR118" i="4"/>
  <c r="BL118" i="4"/>
  <c r="BM118" i="4"/>
  <c r="BK8" i="4"/>
  <c r="BK35" i="4"/>
  <c r="BL7" i="4"/>
  <c r="BH7" i="4"/>
  <c r="BI7" i="4"/>
  <c r="BJ7" i="4"/>
  <c r="BF8" i="4"/>
  <c r="BK64" i="4"/>
  <c r="BN64" i="4"/>
  <c r="R257" i="6" l="1"/>
  <c r="Q257" i="6"/>
  <c r="O85" i="6"/>
  <c r="Q208" i="6"/>
  <c r="H207" i="6"/>
  <c r="R208" i="6"/>
  <c r="O290" i="6"/>
  <c r="P290" i="6"/>
  <c r="N290" i="6"/>
  <c r="J289" i="6"/>
  <c r="M290" i="6"/>
  <c r="L257" i="6"/>
  <c r="K257" i="6"/>
  <c r="K148" i="6"/>
  <c r="I147" i="6"/>
  <c r="L148" i="6"/>
  <c r="Q334" i="6"/>
  <c r="H333" i="6"/>
  <c r="R334" i="6"/>
  <c r="K334" i="6"/>
  <c r="L334" i="6"/>
  <c r="K208" i="6"/>
  <c r="P207" i="6"/>
  <c r="O207" i="6"/>
  <c r="M118" i="6"/>
  <c r="P118" i="6"/>
  <c r="O118" i="6"/>
  <c r="N118" i="6"/>
  <c r="M173" i="6"/>
  <c r="P173" i="6"/>
  <c r="O173" i="6"/>
  <c r="N173" i="6"/>
  <c r="J103" i="6"/>
  <c r="O148" i="6"/>
  <c r="N148" i="6"/>
  <c r="P148" i="6"/>
  <c r="M148" i="6"/>
  <c r="J147" i="6"/>
  <c r="L133" i="6"/>
  <c r="K133" i="6"/>
  <c r="R6" i="6"/>
  <c r="Q6" i="6"/>
  <c r="I207" i="6"/>
  <c r="N207" i="6" s="1"/>
  <c r="R86" i="6"/>
  <c r="Q86" i="6"/>
  <c r="H85" i="6"/>
  <c r="R103" i="6"/>
  <c r="Q103" i="6"/>
  <c r="P86" i="6"/>
  <c r="N257" i="6"/>
  <c r="P257" i="6"/>
  <c r="O257" i="6"/>
  <c r="M257" i="6"/>
  <c r="M47" i="6"/>
  <c r="O47" i="6"/>
  <c r="N47" i="6"/>
  <c r="J6" i="6"/>
  <c r="P47" i="6"/>
  <c r="L86" i="6"/>
  <c r="I85" i="6"/>
  <c r="K86" i="6"/>
  <c r="K104" i="6"/>
  <c r="I103" i="6"/>
  <c r="L104" i="6"/>
  <c r="R289" i="6"/>
  <c r="Q289" i="6"/>
  <c r="H325" i="6"/>
  <c r="R326" i="6"/>
  <c r="Q326" i="6"/>
  <c r="P326" i="6"/>
  <c r="K326" i="6"/>
  <c r="L326" i="6"/>
  <c r="K6" i="6"/>
  <c r="L6" i="6"/>
  <c r="L208" i="6"/>
  <c r="P133" i="6"/>
  <c r="O133" i="6"/>
  <c r="M133" i="6"/>
  <c r="N133" i="6"/>
  <c r="M86" i="6"/>
  <c r="L166" i="6"/>
  <c r="K166" i="6"/>
  <c r="N104" i="6"/>
  <c r="Q41" i="6"/>
  <c r="R41" i="6"/>
  <c r="K41" i="6"/>
  <c r="H147" i="6"/>
  <c r="R148" i="6"/>
  <c r="Q148" i="6"/>
  <c r="K290" i="6"/>
  <c r="I289" i="6"/>
  <c r="L290" i="6"/>
  <c r="M334" i="6"/>
  <c r="J333" i="6"/>
  <c r="P334" i="6"/>
  <c r="O334" i="6"/>
  <c r="N334" i="6"/>
  <c r="N166" i="6"/>
  <c r="M166" i="6"/>
  <c r="P166" i="6"/>
  <c r="BP8" i="4"/>
  <c r="BR8" i="4"/>
  <c r="BO8" i="4"/>
  <c r="BF64" i="4"/>
  <c r="BL64" i="4" s="1"/>
  <c r="BI118" i="4"/>
  <c r="BJ118" i="4"/>
  <c r="BH118" i="4"/>
  <c r="BF35" i="4"/>
  <c r="BL35" i="4" s="1"/>
  <c r="BM35" i="4"/>
  <c r="BR64" i="4"/>
  <c r="BO64" i="4"/>
  <c r="BP64" i="4"/>
  <c r="BL8" i="4"/>
  <c r="BM8" i="4"/>
  <c r="BR35" i="4"/>
  <c r="BP35" i="4"/>
  <c r="BO35" i="4"/>
  <c r="BM64" i="4"/>
  <c r="H355" i="6" l="1"/>
  <c r="R355" i="6" s="1"/>
  <c r="M207" i="6"/>
  <c r="N333" i="6"/>
  <c r="M333" i="6"/>
  <c r="P333" i="6"/>
  <c r="O333" i="6"/>
  <c r="K85" i="6"/>
  <c r="L85" i="6"/>
  <c r="P85" i="6"/>
  <c r="R325" i="6"/>
  <c r="Q325" i="6"/>
  <c r="P325" i="6"/>
  <c r="L325" i="6"/>
  <c r="K325" i="6"/>
  <c r="L103" i="6"/>
  <c r="K103" i="6"/>
  <c r="P147" i="6"/>
  <c r="O147" i="6"/>
  <c r="N147" i="6"/>
  <c r="M147" i="6"/>
  <c r="R207" i="6"/>
  <c r="Q207" i="6"/>
  <c r="N85" i="6"/>
  <c r="L147" i="6"/>
  <c r="K147" i="6"/>
  <c r="L289" i="6"/>
  <c r="K289" i="6"/>
  <c r="R147" i="6"/>
  <c r="Q147" i="6"/>
  <c r="I355" i="6"/>
  <c r="J355" i="6"/>
  <c r="O6" i="6"/>
  <c r="N6" i="6"/>
  <c r="M6" i="6"/>
  <c r="P6" i="6"/>
  <c r="K207" i="6"/>
  <c r="L207" i="6"/>
  <c r="P103" i="6"/>
  <c r="O103" i="6"/>
  <c r="M103" i="6"/>
  <c r="N103" i="6"/>
  <c r="R333" i="6"/>
  <c r="Q333" i="6"/>
  <c r="L333" i="6"/>
  <c r="K333" i="6"/>
  <c r="P289" i="6"/>
  <c r="M289" i="6"/>
  <c r="O289" i="6"/>
  <c r="N289" i="6"/>
  <c r="M85" i="6"/>
  <c r="Q85" i="6"/>
  <c r="R85" i="6"/>
  <c r="Q355" i="6" l="1"/>
  <c r="S355" i="6"/>
  <c r="O355" i="6"/>
  <c r="N355" i="6"/>
  <c r="M355" i="6"/>
  <c r="P355" i="6"/>
  <c r="S267" i="6"/>
  <c r="S266" i="6"/>
  <c r="S318" i="6"/>
  <c r="S308" i="6"/>
  <c r="S307" i="6"/>
  <c r="S256" i="6"/>
  <c r="S262" i="6"/>
  <c r="S237" i="6"/>
  <c r="S352" i="6"/>
  <c r="S255" i="6"/>
  <c r="S245" i="6"/>
  <c r="S322" i="6"/>
  <c r="S278" i="6"/>
  <c r="S240" i="6"/>
  <c r="S202" i="6"/>
  <c r="S153" i="6"/>
  <c r="S152" i="6"/>
  <c r="S109" i="6"/>
  <c r="S108" i="6"/>
  <c r="S241" i="6"/>
  <c r="S116" i="6"/>
  <c r="S300" i="6"/>
  <c r="S145" i="6"/>
  <c r="S239" i="6"/>
  <c r="S80" i="6"/>
  <c r="S45" i="6"/>
  <c r="S233" i="6"/>
  <c r="S188" i="6"/>
  <c r="S171" i="6"/>
  <c r="S155" i="6"/>
  <c r="S251" i="6"/>
  <c r="S96" i="6"/>
  <c r="S91" i="6"/>
  <c r="S67" i="6"/>
  <c r="S46" i="6"/>
  <c r="S113" i="6"/>
  <c r="S129" i="6"/>
  <c r="S117" i="6"/>
  <c r="S101" i="6"/>
  <c r="S79" i="6"/>
  <c r="S29" i="6"/>
  <c r="S69" i="6"/>
  <c r="S299" i="6"/>
  <c r="S177" i="6"/>
  <c r="S128" i="6"/>
  <c r="S90" i="6"/>
  <c r="S84" i="6"/>
  <c r="S83" i="6"/>
  <c r="S12" i="6"/>
  <c r="S11" i="6"/>
  <c r="S19" i="6"/>
  <c r="S20" i="6"/>
  <c r="S44" i="6"/>
  <c r="S138" i="6"/>
  <c r="S265" i="6"/>
  <c r="S227" i="6"/>
  <c r="S331" i="6"/>
  <c r="S287" i="6"/>
  <c r="S304" i="6"/>
  <c r="S323" i="6"/>
  <c r="S319" i="6"/>
  <c r="S329" i="6"/>
  <c r="S279" i="6"/>
  <c r="S348" i="6"/>
  <c r="S317" i="6"/>
  <c r="S187" i="6"/>
  <c r="S141" i="6"/>
  <c r="S184" i="6"/>
  <c r="S144" i="6"/>
  <c r="S217" i="6"/>
  <c r="S343" i="6"/>
  <c r="S205" i="6"/>
  <c r="S221" i="6"/>
  <c r="S244" i="6"/>
  <c r="S261" i="6"/>
  <c r="S286" i="6"/>
  <c r="S250" i="6"/>
  <c r="S314" i="6"/>
  <c r="S203" i="6"/>
  <c r="S232" i="6"/>
  <c r="S236" i="6"/>
  <c r="S303" i="6"/>
  <c r="S213" i="6"/>
  <c r="S338" i="6"/>
  <c r="S212" i="6"/>
  <c r="S295" i="6"/>
  <c r="S321" i="6"/>
  <c r="S315" i="6"/>
  <c r="S342" i="6"/>
  <c r="S52" i="6"/>
  <c r="S159" i="6"/>
  <c r="S243" i="6"/>
  <c r="S32" i="6"/>
  <c r="S59" i="6"/>
  <c r="S31" i="6"/>
  <c r="S58" i="6"/>
  <c r="S95" i="6"/>
  <c r="S107" i="6"/>
  <c r="S178" i="6"/>
  <c r="S235" i="6"/>
  <c r="S330" i="6"/>
  <c r="S196" i="6"/>
  <c r="S229" i="6"/>
  <c r="S249" i="6"/>
  <c r="S339" i="6"/>
  <c r="S10" i="6"/>
  <c r="S64" i="6"/>
  <c r="S123" i="6"/>
  <c r="S150" i="6"/>
  <c r="S231" i="6"/>
  <c r="S82" i="6"/>
  <c r="S68" i="6"/>
  <c r="S164" i="6"/>
  <c r="S195" i="6"/>
  <c r="S151" i="6"/>
  <c r="S204" i="6"/>
  <c r="S328" i="6"/>
  <c r="S344" i="6"/>
  <c r="S353" i="6"/>
  <c r="S337" i="6"/>
  <c r="S216" i="6"/>
  <c r="S176" i="6"/>
  <c r="S170" i="6"/>
  <c r="S9" i="6"/>
  <c r="S163" i="6"/>
  <c r="S277" i="6"/>
  <c r="S28" i="6"/>
  <c r="S89" i="6"/>
  <c r="S140" i="6"/>
  <c r="S285" i="6"/>
  <c r="S143" i="6"/>
  <c r="S254" i="6"/>
  <c r="S30" i="6"/>
  <c r="S201" i="6"/>
  <c r="S112" i="6"/>
  <c r="S306" i="6"/>
  <c r="S313" i="6"/>
  <c r="S220" i="6"/>
  <c r="S127" i="6"/>
  <c r="S194" i="6"/>
  <c r="S122" i="6"/>
  <c r="S63" i="6"/>
  <c r="S51" i="6"/>
  <c r="S298" i="6"/>
  <c r="S294" i="6"/>
  <c r="S228" i="6"/>
  <c r="S351" i="6"/>
  <c r="S327" i="6"/>
  <c r="S137" i="6"/>
  <c r="S260" i="6"/>
  <c r="S183" i="6"/>
  <c r="S186" i="6"/>
  <c r="S347" i="6"/>
  <c r="S211" i="6"/>
  <c r="S158" i="6"/>
  <c r="S302" i="6"/>
  <c r="S193" i="6"/>
  <c r="S43" i="6"/>
  <c r="S18" i="6"/>
  <c r="S100" i="6"/>
  <c r="S226" i="6"/>
  <c r="S210" i="6"/>
  <c r="S312" i="6"/>
  <c r="S175" i="6"/>
  <c r="S50" i="6"/>
  <c r="S99" i="6"/>
  <c r="S42" i="6"/>
  <c r="S192" i="6"/>
  <c r="S350" i="6"/>
  <c r="S106" i="6"/>
  <c r="S182" i="6"/>
  <c r="S157" i="6"/>
  <c r="S215" i="6"/>
  <c r="S253" i="6"/>
  <c r="S276" i="6"/>
  <c r="S293" i="6"/>
  <c r="S225" i="6"/>
  <c r="S284" i="6"/>
  <c r="S88" i="6"/>
  <c r="S57" i="6"/>
  <c r="S200" i="6"/>
  <c r="S27" i="6"/>
  <c r="S136" i="6"/>
  <c r="S219" i="6"/>
  <c r="S8" i="6"/>
  <c r="S346" i="6"/>
  <c r="S162" i="6"/>
  <c r="S169" i="6"/>
  <c r="S326" i="6"/>
  <c r="S121" i="6"/>
  <c r="S181" i="6"/>
  <c r="S292" i="6"/>
  <c r="S325" i="6"/>
  <c r="S87" i="6"/>
  <c r="S41" i="6"/>
  <c r="S105" i="6"/>
  <c r="S135" i="6"/>
  <c r="S224" i="6"/>
  <c r="S98" i="6"/>
  <c r="S168" i="6"/>
  <c r="S336" i="6"/>
  <c r="S283" i="6"/>
  <c r="S56" i="6"/>
  <c r="S209" i="6"/>
  <c r="S120" i="6"/>
  <c r="S311" i="6"/>
  <c r="S156" i="6"/>
  <c r="S282" i="6"/>
  <c r="S49" i="6"/>
  <c r="S161" i="6"/>
  <c r="S259" i="6"/>
  <c r="S7" i="6"/>
  <c r="S191" i="6"/>
  <c r="S48" i="6"/>
  <c r="S134" i="6"/>
  <c r="S119" i="6"/>
  <c r="S208" i="6"/>
  <c r="S55" i="6"/>
  <c r="S291" i="6"/>
  <c r="S167" i="6"/>
  <c r="S310" i="6"/>
  <c r="S104" i="6"/>
  <c r="S86" i="6"/>
  <c r="S149" i="6"/>
  <c r="S281" i="6"/>
  <c r="S174" i="6"/>
  <c r="S258" i="6"/>
  <c r="S335" i="6"/>
  <c r="S85" i="6"/>
  <c r="S290" i="6"/>
  <c r="S207" i="6"/>
  <c r="S118" i="6"/>
  <c r="S148" i="6"/>
  <c r="S133" i="6"/>
  <c r="S334" i="6"/>
  <c r="S166" i="6"/>
  <c r="S47" i="6"/>
  <c r="S173" i="6"/>
  <c r="S257" i="6"/>
  <c r="S289" i="6"/>
  <c r="K355" i="6"/>
  <c r="L355" i="6"/>
  <c r="S147" i="6"/>
  <c r="S103" i="6"/>
  <c r="S6" i="6"/>
  <c r="S333" i="6"/>
</calcChain>
</file>

<file path=xl/comments1.xml><?xml version="1.0" encoding="utf-8"?>
<comments xmlns="http://schemas.openxmlformats.org/spreadsheetml/2006/main">
  <authors>
    <author>Автор</author>
  </authors>
  <commentLis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выигрыши, лотереи, аренда, продажа недвиж, дивиденды и т.д.</t>
        </r>
      </text>
    </comment>
    <comment ref="E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H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R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</commentList>
</comments>
</file>

<file path=xl/sharedStrings.xml><?xml version="1.0" encoding="utf-8"?>
<sst xmlns="http://schemas.openxmlformats.org/spreadsheetml/2006/main" count="1126" uniqueCount="535">
  <si>
    <t>Приложение №1</t>
  </si>
  <si>
    <t>Анализ доходов бюджета городского поселения Талинка</t>
  </si>
  <si>
    <t>КБК</t>
  </si>
  <si>
    <t>Наименование дохода</t>
  </si>
  <si>
    <t>исполнение за 2011 год</t>
  </si>
  <si>
    <t>РСД от  27.12.2011 № 223</t>
  </si>
  <si>
    <t>РСД от  20.12.2012  №288</t>
  </si>
  <si>
    <t>исполнение за 2012 год</t>
  </si>
  <si>
    <t>РСД от  26.12.2012 № 289</t>
  </si>
  <si>
    <t>РСД от  24.12.2013  № 16</t>
  </si>
  <si>
    <t>кассовый план на 31.12.2012</t>
  </si>
  <si>
    <t>исполнение за 2013 год</t>
  </si>
  <si>
    <t>РСД от  26.12.2013 № 19</t>
  </si>
  <si>
    <t>РСД от  25.12.2014  № 47</t>
  </si>
  <si>
    <t>исполнение за 2014 год</t>
  </si>
  <si>
    <t>начисление за 2014 год</t>
  </si>
  <si>
    <t>РСД от  25.12.2014 № 46</t>
  </si>
  <si>
    <t>РСД от  29.12.2015  № 52</t>
  </si>
  <si>
    <t>исполнение за 2015 год</t>
  </si>
  <si>
    <t>начисление за 2015 год</t>
  </si>
  <si>
    <t>РСД от  29.12.2015 № 55</t>
  </si>
  <si>
    <t>РСД от  29.12.2016  № 53</t>
  </si>
  <si>
    <t>исполнение за 2016 год</t>
  </si>
  <si>
    <t>начисление за 2016 год</t>
  </si>
  <si>
    <t>РСД от 20.12.2016 № 52</t>
  </si>
  <si>
    <t>РСД от  26.12.2017  № 43</t>
  </si>
  <si>
    <t>исполнение за 2017 год</t>
  </si>
  <si>
    <t>начисление за 2017 год</t>
  </si>
  <si>
    <t>РСД от 26.12.2017 № 42</t>
  </si>
  <si>
    <t>РСД от  21.12.2018  № 50</t>
  </si>
  <si>
    <t>исполнение за 2018 год</t>
  </si>
  <si>
    <t>начисление за 2018 год</t>
  </si>
  <si>
    <t>РСД от 21.12.2018 № 51</t>
  </si>
  <si>
    <t>РСД от  23.12.2019  № 55</t>
  </si>
  <si>
    <t>исполнение за 2019 год</t>
  </si>
  <si>
    <t>начисление за 2019 год</t>
  </si>
  <si>
    <t>РСД от 10.12.2019 № 48</t>
  </si>
  <si>
    <t>РСД от  25.12.2020  № 43</t>
  </si>
  <si>
    <t>исполнение за 2020 год</t>
  </si>
  <si>
    <t>начисление за 2020 год</t>
  </si>
  <si>
    <t>РСД от 15.12.2020 №42</t>
  </si>
  <si>
    <t>РСД от  30.09.2021  № 43</t>
  </si>
  <si>
    <t>РСД от 21.12.2021 №63</t>
  </si>
  <si>
    <t>исполнение за 2021 год</t>
  </si>
  <si>
    <t>начисление за 2021год</t>
  </si>
  <si>
    <t>РСД от 21.12.21 №62</t>
  </si>
  <si>
    <t>РСД от 17.03.22 №13</t>
  </si>
  <si>
    <t>РСД от 24.05.22 №21</t>
  </si>
  <si>
    <t>РСД ОТ 04.10.2022 №31</t>
  </si>
  <si>
    <t>РСД ОТ 28.10.2022 №38</t>
  </si>
  <si>
    <t>РСД от 27.12.22 №45</t>
  </si>
  <si>
    <t>в тыс. руб. от РСД №62</t>
  </si>
  <si>
    <t>в % от РСД №62</t>
  </si>
  <si>
    <t>исполнение за 2022 год</t>
  </si>
  <si>
    <t>начисление за 2022 год</t>
  </si>
  <si>
    <t>в % к 2021 году</t>
  </si>
  <si>
    <t>в % к РСД №62</t>
  </si>
  <si>
    <t>Проект</t>
  </si>
  <si>
    <t>Утвержденные назначения</t>
  </si>
  <si>
    <t xml:space="preserve"> Уточненные назначения</t>
  </si>
  <si>
    <t>Утвержденные назначения на 2020 год</t>
  </si>
  <si>
    <t>Утвержденные назначения на 2021 год</t>
  </si>
  <si>
    <t>Утвержденные назначения на 2022 год</t>
  </si>
  <si>
    <t xml:space="preserve"> Уточненные назначения на 2020 год</t>
  </si>
  <si>
    <t>2021 год</t>
  </si>
  <si>
    <t>2022 год</t>
  </si>
  <si>
    <t>2023 год</t>
  </si>
  <si>
    <t xml:space="preserve">  2021 год</t>
  </si>
  <si>
    <t>2024 год</t>
  </si>
  <si>
    <t>в % к 2023 году</t>
  </si>
  <si>
    <t>2025 год</t>
  </si>
  <si>
    <t>в % к 2024 году</t>
  </si>
  <si>
    <t>000 1 00 00000 00 0000 000</t>
  </si>
  <si>
    <t xml:space="preserve">НАЛОГОВЫЕ И НЕНАЛОГОВЫЕ ДОХОДЫ </t>
  </si>
  <si>
    <t>Налоговые доходы</t>
  </si>
  <si>
    <t>удельный вес в общем объеме доходов, %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</si>
  <si>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</si>
  <si>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</si>
  <si>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</si>
  <si>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</si>
  <si>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</si>
  <si>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</si>
  <si>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</si>
  <si>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</si>
  <si>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</si>
  <si>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</si>
  <si>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000 103 00000 00 0000 000</t>
  </si>
  <si>
    <t>Налоги на товары (работы, услуги), реализуемые на территории РФ</t>
  </si>
  <si>
    <t>000 103 02230 01 0000 110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</si>
  <si>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</si>
  <si>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</si>
  <si>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</si>
  <si>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</si>
  <si>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</si>
  <si>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</si>
  <si>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</si>
  <si>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000 1 05 00000 00 0000 000</t>
  </si>
  <si>
    <t>НАЛОГИ НА СОВОКУПНЫЙ ДОХОД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</si>
  <si>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</si>
  <si>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</si>
  <si>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</si>
  <si>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</si>
  <si>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</si>
  <si>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</si>
  <si>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списано</t>
  </si>
  <si>
    <t>182 1 06 04000 02 0000 110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</si>
  <si>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</si>
  <si>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</si>
  <si>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</si>
  <si>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</si>
  <si>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</si>
  <si>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</si>
  <si>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</si>
  <si>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</si>
  <si>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</si>
  <si>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</si>
  <si>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</si>
  <si>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</si>
  <si>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</si>
  <si>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</si>
  <si>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</t>
  </si>
  <si>
    <t>650 1 08 07175 01 0000 110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</si>
  <si>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</si>
  <si>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</si>
  <si>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</si>
  <si>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</si>
  <si>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</si>
  <si>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</si>
  <si>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в том числе кумс</t>
  </si>
  <si>
    <t xml:space="preserve">000 1 11 05075 13 0000 120
</t>
  </si>
  <si>
    <t>Доходы от сдачи в аренду имущества, составляющего казну городских поселений (за исключением земельных участков)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</si>
  <si>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</si>
  <si>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им-ва б и а у)</t>
  </si>
  <si>
    <t>000 111 07015 13 0000120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</si>
  <si>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</si>
  <si>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</si>
  <si>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</si>
  <si>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11109/172</t>
  </si>
  <si>
    <t>бюдж учр</t>
  </si>
  <si>
    <t>000 1 13  00000 00 0000 000</t>
  </si>
  <si>
    <t>ДОХОДЫ ОТ ОКАЗАНИЯ ПЛАТНЫХ УСЛУГ (РАБОТ) И КОМПЕНСАЦИИ ЗАТРАТ ГОСУДАРСТВА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</si>
  <si>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</si>
  <si>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</si>
  <si>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</si>
  <si>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</si>
  <si>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000 1 14 00000 00 0000 000</t>
  </si>
  <si>
    <t>ДОХОДЫ ОТ ПРОДАЖИ МАТЕРИАЛЬНЫХ И НЕМАТЕРИАЛЬНЫХ АКТИВОВ</t>
  </si>
  <si>
    <t xml:space="preserve"> 650 1 14 02053 13 0000 410</t>
  </si>
  <si>
    <t>Доходы от реализации иного 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</si>
  <si>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000 1 14 13090 13 0000 410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</si>
  <si>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</si>
  <si>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</si>
  <si>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участков, находящихся в собственности муниципальных бюджетных и автономных учреждений)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</si>
  <si>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</si>
  <si>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</si>
  <si>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</si>
  <si>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</si>
  <si>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650 1 16 23050 13 0000 140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</si>
  <si>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городских поселений </t>
  </si>
  <si>
    <t>650 1 16 23052 13 0000 140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</si>
  <si>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городских  поселений </t>
  </si>
  <si>
    <t>000 1 16 07010 13 0000 140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</si>
  <si>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</si>
  <si>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</si>
  <si>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</si>
  <si>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161 1 16 33050 13 0000 140</t>
  </si>
  <si>
    <t>Денежные взыскания (штрафы) за нарушение законодательства РФ о размещении заказов на поставки товаров, выполнение работ, оказание услуг для нужд городских  поселений</t>
  </si>
  <si>
    <t>188 1 16 30019 01 0000 140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</si>
  <si>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поселений</t>
  </si>
  <si>
    <t>000 116 90040 11 0000 146</t>
  </si>
  <si>
    <t>Прочие поступления от денежных взысканий (штрафов) и иных сумм в возмещение ущерба, зачисляемые в бюджеты городских округов с внутригородским делением</t>
  </si>
  <si>
    <t xml:space="preserve">650 1 17 00000 00 0000 000 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</si>
  <si>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</si>
  <si>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</si>
  <si>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</si>
  <si>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</si>
  <si>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 поступления от других бюджетов бюджетной системы РФ</t>
  </si>
  <si>
    <t>000 2 02 10000 00 0000 150</t>
  </si>
  <si>
    <t>Дотации бюджетам бюджетной системы Российской Федерации</t>
  </si>
  <si>
    <t>650 2 02 15001 13 0000 150</t>
  </si>
  <si>
    <t xml:space="preserve">Дотации бюджетам  городских поселений на выравнивание бюджетной обеспеченности </t>
  </si>
  <si>
    <t>650 2 02 15002 13 0000 150</t>
  </si>
  <si>
    <t>Дотации бюджетам городских поселений на поддержку мер по обеспечению сбалансированности бюджетов</t>
  </si>
  <si>
    <t>000 2 02 20000 00 0000 150</t>
  </si>
  <si>
    <t>Субсидии бюджетам бюджетной системы Российской Федерации  (межбюджетные субсидии)</t>
  </si>
  <si>
    <t>650 2 02 02041 13 0000 151</t>
  </si>
  <si>
    <t>Субсидии бюджетам 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</si>
  <si>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650 2 02 02109 10 0000 151</t>
  </si>
  <si>
    <t>Субсидии бюджетам поселений на проведение капитального ремонта многоквартирных домов</t>
  </si>
  <si>
    <t>650 2 02 02150 10 0000 151</t>
  </si>
  <si>
    <t xml:space="preserve">Субсидии бюджетам поселений на реализацию программы энергосбережения и повышения энергетической эффективности на период до 2020 года </t>
  </si>
  <si>
    <t>650 2 02 29999 13 0000 150</t>
  </si>
  <si>
    <t>Прочие субсидии бюджетам городских поселений</t>
  </si>
  <si>
    <t>ЖКК и ГС в МООР</t>
  </si>
  <si>
    <t>МП "Развитие культуры и туризма в МООР"</t>
  </si>
  <si>
    <t>МП "Профилактика правонарушений и обеспечение ОПГ в МООР"</t>
  </si>
  <si>
    <t>Наш дом +НД дор фонд</t>
  </si>
  <si>
    <t>000 2 02 30000 00 0000 150</t>
  </si>
  <si>
    <t>Субвенции бюджетам бюджетной системы Российской Федерации</t>
  </si>
  <si>
    <t>650 2 02 30024 13 0000 150</t>
  </si>
  <si>
    <t>Субвенции бюджетам городских поселений на выполнение передаваемых полномочий субъектов РФ</t>
  </si>
  <si>
    <t>650 2 02 35930 13 0000 150</t>
  </si>
  <si>
    <t>Субвенции бюджетам городских поселений на государственную регистрацию актов гражданского состояния</t>
  </si>
  <si>
    <t>650 2 02 35118 13 0000 150</t>
  </si>
  <si>
    <t>Субвенции бюджетам городских поселений на осуществление первичного воинского учета на территории, где отсутствуют военные комиссариаты</t>
  </si>
  <si>
    <t>000 2 02 40000 00 0000 150</t>
  </si>
  <si>
    <t>Иные межбюджетные трансферты</t>
  </si>
  <si>
    <t xml:space="preserve">000
2 02 45160 13 0000 150
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</si>
  <si>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</si>
  <si>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650 2 02 04014 13 0000 150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</si>
  <si>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</si>
  <si>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000 2 02 04029 13 0000150</t>
  </si>
  <si>
    <t xml:space="preserve">Межбюджетные трансферты, передаваемые бюджетам городских поселений на реализацию дополнительных мероприятий,направленных на снижение напряженности на рынке труда </t>
  </si>
  <si>
    <t>650 2 02 49999 13 0000 150</t>
  </si>
  <si>
    <t>Прочие межбюджетные трансферты, передаваемые бюджетам городских поселений</t>
  </si>
  <si>
    <t>МП "Современная транспортная система в МООР"</t>
  </si>
  <si>
    <t>МП "Улучшение условий и охраны труда, развитие СП и содействие занятости населения в МООР"</t>
  </si>
  <si>
    <t>МП "Развитие физической культура и спорта"</t>
  </si>
  <si>
    <t xml:space="preserve">МП "Развитие культура и туризма в МООР" </t>
  </si>
  <si>
    <t>МП "Развитие ЖКК в МООР"</t>
  </si>
  <si>
    <t>МП "Пространственное развитие и ФКГС в МООР"</t>
  </si>
  <si>
    <t>МП "Безопасность жизнедеятельности в МООР"</t>
  </si>
  <si>
    <t>наказы избирателей</t>
  </si>
  <si>
    <t>профилактика правонарушений</t>
  </si>
  <si>
    <t>профилактика экстремизма</t>
  </si>
  <si>
    <t>профилактика терроризма</t>
  </si>
  <si>
    <t>Экологическая безопасность</t>
  </si>
  <si>
    <t>АПК</t>
  </si>
  <si>
    <t>на содействие в развитии исторических  и иных местных традиций</t>
  </si>
  <si>
    <t>Развитие гражданского общества в МООР (инициативное бюджетирование)</t>
  </si>
  <si>
    <t xml:space="preserve">на грантовую поддержку по итогам работы органов местного самоуправления в рамках муниципальной программы «Управление муниципальными финансами в Октябрьском районе на 2016-2020 годы» </t>
  </si>
  <si>
    <t>за счет резервного фонда (мобилизация)</t>
  </si>
  <si>
    <t>МП "Управление муниципальной собственностью в МООР"</t>
  </si>
  <si>
    <t>Развитие образования</t>
  </si>
  <si>
    <t>на сбалансированность</t>
  </si>
  <si>
    <t>000 202 90054 13 0000 150/191</t>
  </si>
  <si>
    <t xml:space="preserve">Прочие безвозмездные поступления в бюджеты городских поселений от бюджетов муниципальных районов/Безвозмездные неденежные поступления текущего характера от сектора государственного управления и организаций государственного сектора
</t>
  </si>
  <si>
    <t>000 202 90054 13 0000 150/195</t>
  </si>
  <si>
    <t>кап хар</t>
  </si>
  <si>
    <t>000 202 90024 13 0000 150</t>
  </si>
  <si>
    <t>Прочие безвозмездные поступления в бюджеты городских поселений от бюджетов субъектов Российской Федерации</t>
  </si>
  <si>
    <t>000 2 07 00000 00 0000 150</t>
  </si>
  <si>
    <t>ПРОЧИЕ БЕЗВОЗМЕЗДНЫЕ ПОСТУПЛЕНИЯ</t>
  </si>
  <si>
    <t>650 2 07 05030 13 0000 150/155</t>
  </si>
  <si>
    <t xml:space="preserve">Прочие безвозмездные поступления в бюджеты городских поселений/Поступления текущего характера от иных резидентов (за исключением сектора государственного управления и организаций государственного сектора)
</t>
  </si>
  <si>
    <t>650 2 07 05030 13 0000 150/165</t>
  </si>
  <si>
    <t xml:space="preserve">Прочие безвозмездные поступления в бюджеты городских поселений/Поступления кап характера от иных резидентов (за исключением сектора государственного управления и организаций государственного сектора)
</t>
  </si>
  <si>
    <t>000 2 07 10130 13 0000 198/195</t>
  </si>
  <si>
    <t>Безвозмездные неденежные поступления от государственного сектора в бюджеты городских поселений/ кап хар</t>
  </si>
  <si>
    <t>000 2 07 10130 13 0000 196/191</t>
  </si>
  <si>
    <t xml:space="preserve">Безвозмездные межбюджетные неденежные поступления в бюджеты городских поселений/ текущ хар
/ текущего характера от сектора государственного управления и организаций государственного сектора
</t>
  </si>
  <si>
    <t>000 2 07 10130 13 0000 196/195</t>
  </si>
  <si>
    <t xml:space="preserve">Безвозмездные межбюджетные неденежные поступления в бюджеты городских поселений/ капитального характера от сектора государственного управления и организаций государственного сектора
</t>
  </si>
  <si>
    <t>650 2 19 05000 13 0000 150</t>
  </si>
  <si>
    <t>Возврат остатков субсидий, субвенций и иных межбюджетных трансфертов, имеющих целевое значение, прошлых лет из бюджетов городских поселений</t>
  </si>
  <si>
    <t>ВСЕГО ДОХОДОВ</t>
  </si>
  <si>
    <t>Приложение №2</t>
  </si>
  <si>
    <t xml:space="preserve">Анализ исполнения бюджета поселения Талинка по разделам и подразделам классификации расходов бюджета </t>
  </si>
  <si>
    <t>Наименование</t>
  </si>
  <si>
    <t>Рз</t>
  </si>
  <si>
    <t>ПР</t>
  </si>
  <si>
    <t>Исполнение бюджета за 2011 год</t>
  </si>
  <si>
    <t>Исполнение бюджета за 2012 год</t>
  </si>
  <si>
    <t>Исполнение бюджета за 2013 год</t>
  </si>
  <si>
    <t>Исполнеие бюджета за 2014 год</t>
  </si>
  <si>
    <t>Исполнение за 2015 год</t>
  </si>
  <si>
    <t>Исполнение за 2016 год</t>
  </si>
  <si>
    <t>Исполнение за 2017 год</t>
  </si>
  <si>
    <t>Исполнение за 2018 год</t>
  </si>
  <si>
    <t>Исполнение за 2019 год</t>
  </si>
  <si>
    <t>Исполнение за 2020 год</t>
  </si>
  <si>
    <t>РСД от 15.12.20 №42</t>
  </si>
  <si>
    <t>РСД от 22.06.21 №29</t>
  </si>
  <si>
    <t>РСД от 30.09.21 №43</t>
  </si>
  <si>
    <t>Ожидаемое исполнение 2021 г.</t>
  </si>
  <si>
    <t>РСД от 21.12.21 №63</t>
  </si>
  <si>
    <t>Бюджетная роспись</t>
  </si>
  <si>
    <t>Исполнение за 2021 год</t>
  </si>
  <si>
    <t>РСД от 21.12.2021 № 62, на 2022 год</t>
  </si>
  <si>
    <t>РСД от 17.03.22 №13, на 2022 год</t>
  </si>
  <si>
    <t>РСД от 24.05.22 №21, на 2022 год</t>
  </si>
  <si>
    <t>РСД рт 04.10.2022 № 31 на 2022</t>
  </si>
  <si>
    <t>РСД от 28.10.22 №38</t>
  </si>
  <si>
    <t>Ожидаемое исполнение на 01.01.23</t>
  </si>
  <si>
    <t>Исполнение</t>
  </si>
  <si>
    <t>Отклонение бюджетной росписи от РСД №45, тыс. руб.</t>
  </si>
  <si>
    <t>Отклонение бюджетной росписи от РСД №45,%</t>
  </si>
  <si>
    <t>Отклонение бюджетной росписи от исполнения</t>
  </si>
  <si>
    <t>% исполнения от бюджетной росписи</t>
  </si>
  <si>
    <t>% исполнения от РСД №62</t>
  </si>
  <si>
    <t>% исполнения от РСД №45</t>
  </si>
  <si>
    <t>% исполнения от уровня 2021 г.</t>
  </si>
  <si>
    <t>Отклонение РСД №45 от РСД №62, тыс. руб.</t>
  </si>
  <si>
    <t>Отклонение РСД №45 от РСД №62, %</t>
  </si>
  <si>
    <t>Удельный вес, %</t>
  </si>
  <si>
    <t>РСД от 25.12.22 №44</t>
  </si>
  <si>
    <t>Проект 02.23</t>
  </si>
  <si>
    <t>Отклонение Проекта от РСД №44, тыс. руб.</t>
  </si>
  <si>
    <t>Отклонение Проекта от РСД №44, %</t>
  </si>
  <si>
    <t>удельный вес, %</t>
  </si>
  <si>
    <t>Проект на 2024 год</t>
  </si>
  <si>
    <t>Проект на 2025 год</t>
  </si>
  <si>
    <t>Общегосударственные вопросы</t>
  </si>
  <si>
    <t>01</t>
  </si>
  <si>
    <t>Функционирование высшего должностного лица МО</t>
  </si>
  <si>
    <t>02</t>
  </si>
  <si>
    <t>Функционирование 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</si>
  <si>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</si>
  <si>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</si>
  <si>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</si>
  <si>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</si>
  <si>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</si>
  <si>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</si>
  <si>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</si>
  <si>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</si>
  <si>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</si>
  <si>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</si>
  <si>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 и вневойсковая подготовка</t>
  </si>
  <si>
    <t>03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</si>
  <si>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</si>
  <si>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</si>
  <si>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</si>
  <si>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</si>
  <si>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</si>
  <si>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</si>
  <si>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</si>
  <si>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</si>
  <si>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</si>
  <si>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</si>
  <si>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</si>
  <si>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</si>
  <si>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</si>
  <si>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</si>
  <si>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</si>
  <si>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</si>
  <si>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</si>
  <si>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</si>
  <si>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</si>
  <si>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</si>
  <si>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Коммунальное 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</si>
  <si>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</si>
  <si>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</si>
  <si>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</si>
  <si>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</si>
  <si>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Молодежная политика и оздоровление детей</t>
  </si>
  <si>
    <t xml:space="preserve">Культура, кинематография </t>
  </si>
  <si>
    <t xml:space="preserve">Культура </t>
  </si>
  <si>
    <t>Кинематография</t>
  </si>
  <si>
    <t>0</t>
  </si>
  <si>
    <t>Другие вопросы в области социальной политики</t>
  </si>
  <si>
    <t>Здравоохранение</t>
  </si>
  <si>
    <t>Санитарно - эпидемиологическое благополучие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</si>
  <si>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</si>
  <si>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</si>
  <si>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</si>
  <si>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</si>
  <si>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</si>
  <si>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</si>
  <si>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Прочие межбюджетные трансферты общего характера</t>
  </si>
  <si>
    <t>ВСЕГО</t>
  </si>
  <si>
    <t>Рез</t>
  </si>
  <si>
    <t>Усл</t>
  </si>
  <si>
    <t>Прогр</t>
  </si>
  <si>
    <t>Приложение  №3</t>
  </si>
  <si>
    <t>Ведомственная  структура  расходов бюджета городского поселения Талинка за 2022 год</t>
  </si>
  <si>
    <t>(тыс. руб.)</t>
  </si>
  <si>
    <t>ЦСР</t>
  </si>
  <si>
    <t>ВР</t>
  </si>
  <si>
    <t>КОСГУ</t>
  </si>
  <si>
    <t>Функционирование высшего должностного лица  муниципального образования</t>
  </si>
  <si>
    <t>Непрограммные направления деятельности</t>
  </si>
  <si>
    <t>40 0 00 00000</t>
  </si>
  <si>
    <t>Непрограммные направления деятельности "Обеспечение деятельности муниципальных органов власти"</t>
  </si>
  <si>
    <t>40 1 00 00000</t>
  </si>
  <si>
    <t>Глава  муниципального  образования</t>
  </si>
  <si>
    <t>40 1 00 02030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</si>
  <si>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</si>
  <si>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</si>
  <si>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Заместители главы  муниципального  образования </t>
  </si>
  <si>
    <t>40 1 00 02060</t>
  </si>
  <si>
    <t>Расходы на обеспечение функций  органов  местного  самоуправления</t>
  </si>
  <si>
    <t>40 1 00 02040</t>
  </si>
  <si>
    <t xml:space="preserve">Резервные фонды </t>
  </si>
  <si>
    <t>40 8 00 00000</t>
  </si>
  <si>
    <t xml:space="preserve">Резервный фонд администрации городского поселения Талинка </t>
  </si>
  <si>
    <t>40 8 00 20210</t>
  </si>
  <si>
    <t>Иные  бюджетные  ассигнования</t>
  </si>
  <si>
    <t>Резервные средства</t>
  </si>
  <si>
    <t>Муниципальная программа «Профилактика терроризма и правонарушений в сфере общественного порядка в городском поселении Талинка»</t>
  </si>
  <si>
    <t>01 0 00 00000</t>
  </si>
  <si>
    <t>Основное мероприятие "Осуществление охраны здания администрации городского поселения Талинка сотрудниками частных охранных организаций"</t>
  </si>
  <si>
    <t>01 0 01 00000</t>
  </si>
  <si>
    <t>Реализация  мероприятий</t>
  </si>
  <si>
    <t>01 0 01 99990</t>
  </si>
  <si>
    <t xml:space="preserve">Закупка товаров, работ и услуг для обеспечения государственных (муниципальных) нужд 
</t>
  </si>
  <si>
    <t>Иные закупки товаров, работ и услуг для обеспечения государственных (муниципальных) нужд</t>
  </si>
  <si>
    <t>Непрограммное направление деятельности "Обеспечение деятельности муниципальных органов власти"</t>
  </si>
  <si>
    <t>Прочие мероприятия  муниципальных  органов в рамках непрограммного  направления деятельности "Обеспечение деятельности муниципальных органов власти"</t>
  </si>
  <si>
    <t>40 1 00 02400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</si>
  <si>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</si>
  <si>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</si>
  <si>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</si>
  <si>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Реализация мероприятий</t>
  </si>
  <si>
    <t>40 1 00 99990</t>
  </si>
  <si>
    <t xml:space="preserve">Закупка товаров, работ и услуг для обеспечения государственных (муниципальных) нужд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</si>
  <si>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</si>
  <si>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41 1 00 89020</t>
  </si>
  <si>
    <t>Межбюджетные трансферты</t>
  </si>
  <si>
    <t>Осуществление первичного воинского учета  органами местного самоуправления поселений, муниципальных и городских округов</t>
  </si>
  <si>
    <t>40 1 00 51180</t>
  </si>
  <si>
    <t>Осуществление первичного военского учета на территориях где отсутствуют военные комиссариаты</t>
  </si>
  <si>
    <t>41 4 00 00000</t>
  </si>
  <si>
    <t xml:space="preserve">Расходы за счет бюджетных ассигнований резервного фонда Правительства Ханты-Мансийского автономного округа-Югры, за исключением иных межбюджетных трансфертов на реализацию наказов избирателей депутатам Думы Ханты-Мансийского автономного округа-Югры </t>
  </si>
  <si>
    <t>41 4 00 85150</t>
  </si>
  <si>
    <t>Осуществление переданных полномочий Российской Федерации на государственную регистрацию актов гражданского состояния</t>
  </si>
  <si>
    <t>40 1 00 59300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</si>
  <si>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</si>
  <si>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40 1 00 D9300</t>
  </si>
  <si>
    <t>40 2 00 89141</t>
  </si>
  <si>
    <t xml:space="preserve">Защита населения и территории от чрезвычайных ситуаций природного и техногенного характера, пожарная безопасность 
</t>
  </si>
  <si>
    <t>Мероприятия по защите населения и территории от  чрезвычайных ситуаций природного и техногенного характера</t>
  </si>
  <si>
    <t>40 2 00 00000</t>
  </si>
  <si>
    <t xml:space="preserve">Расходы на содержание резервов материальных ресурсов (запасов) для предупреждения, ликвидации чрезвычайных  ситуаций в целях гражданской обороны </t>
  </si>
  <si>
    <t>40 2 00 99990</t>
  </si>
  <si>
    <t>Основное  мероприятие "Создание условий для деятельности народных дружин"</t>
  </si>
  <si>
    <t>01 0 02 00000</t>
  </si>
  <si>
    <t>Расходы на создание условий для деятельности народных дружин</t>
  </si>
  <si>
    <t>01 0 02 82300</t>
  </si>
  <si>
    <t>Доля софинансирования для создания условий для деятельности  народных дружин</t>
  </si>
  <si>
    <t>01 0 02 S2300</t>
  </si>
  <si>
    <t>Национальная  экономика</t>
  </si>
  <si>
    <t>Мероприятия по содействию улучшения  положения на рынке труда незанятых трудовой деятельностью и безработных граждан</t>
  </si>
  <si>
    <t>40 5 00 00000</t>
  </si>
  <si>
    <t>Расходы на реализацию мероприятий по содействию  трудоустройства  граждан</t>
  </si>
  <si>
    <t>40 5 00 89191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</si>
  <si>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</si>
  <si>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</si>
  <si>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</si>
  <si>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40 5 01 00000</t>
  </si>
  <si>
    <t>Расходы на реализацию мероприятий по содействию  трудоустройству  граждан</t>
  </si>
  <si>
    <t>40 5 01 85060</t>
  </si>
  <si>
    <t>Основное мероприятие "Организация сопровождения инвалидов, включая инвалидов молодого возраста, при трудоустройстве и самозанятости» подпрограммы «Сопровождение инвалидов, включая инвалидов молодого возраста, при трудоустройстве"</t>
  </si>
  <si>
    <t>40 5 02 00000</t>
  </si>
  <si>
    <t>40 5 02 85060</t>
  </si>
  <si>
    <t>Мероприятия в области национальной экономики</t>
  </si>
  <si>
    <t>40 3 00 00000</t>
  </si>
  <si>
    <t>Расходы на организацию мероприятий при осуществлении деятельности по обращению с животными без владельцев (бюджет района)</t>
  </si>
  <si>
    <t>40 3 00 89051</t>
  </si>
  <si>
    <t>Закупка товаров, работ и услуг для государственных (муниципальных) нужд</t>
  </si>
  <si>
    <t>Дорожное хозяйство ( дорожные  фонды)</t>
  </si>
  <si>
    <t>Муниципальная программа «Современная транспортная система в муниципальном образовании городское поселение Талинка на 2020-2024 годы»</t>
  </si>
  <si>
    <t>02 0 00 00000</t>
  </si>
  <si>
    <t xml:space="preserve">Основное мероприятие «Содержание автомобильных дорог» </t>
  </si>
  <si>
    <t>02 0 01 00000</t>
  </si>
  <si>
    <t>02 0 01 99990</t>
  </si>
  <si>
    <t>Основное мероприятие «Капитальный ремонт и ремонт автомобильных дорог местного значения городского поселения Талинка»</t>
  </si>
  <si>
    <t>02 0 02 00000</t>
  </si>
  <si>
    <t xml:space="preserve">Расходы на капитальный ремонт и ремонт автомобильных  дорог  общего пользования местного значения </t>
  </si>
  <si>
    <t>02 0 02 89111</t>
  </si>
  <si>
    <t>Расходы на капитальный ремонт и ремонт автомобильных дорог общего пользования  местного значения (местный бюджет)</t>
  </si>
  <si>
    <t>02 0 02 99990</t>
  </si>
  <si>
    <t xml:space="preserve">Связь и информатика </t>
  </si>
  <si>
    <t>Другие вопросы в области  национальной  экономики</t>
  </si>
  <si>
    <t>Расходы на межевание земельных участков</t>
  </si>
  <si>
    <t>40 3 00 89182</t>
  </si>
  <si>
    <t>Жилищно-коммунальное  хозяйство</t>
  </si>
  <si>
    <t>Жилищное хозяйство</t>
  </si>
  <si>
    <t>Мероприятия в области жилищно-коммунального хозяйства</t>
  </si>
  <si>
    <t>40 6 00 00000</t>
  </si>
  <si>
    <t>Расходы на обследование технического состояния объектов с целью признания их аварийными</t>
  </si>
  <si>
    <t>40 6 00 89107</t>
  </si>
  <si>
    <t>Расходы на снос объектов признаных аварийными</t>
  </si>
  <si>
    <t>40 6 00 89108</t>
  </si>
  <si>
    <t>40 6 00 99990</t>
  </si>
  <si>
    <t xml:space="preserve">Расходы на реализацию полномочий в сфере жилищно-коммунального комплекса </t>
  </si>
  <si>
    <t>40 6 00 82591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</si>
  <si>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</si>
  <si>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содержание резервов материальных ресурсов (запасов) для предупреждения, ликвидации чрезвычайных ситуаций</t>
  </si>
  <si>
    <t>40 6 00 89101</t>
  </si>
  <si>
    <t xml:space="preserve">Расходы на разработку проектно-сметной документации </t>
  </si>
  <si>
    <t>40 6 00 89104</t>
  </si>
  <si>
    <t>Расходы на реализацию мероприятий по  разработке, обследованию объектов водоснабжения</t>
  </si>
  <si>
    <t>40 6 00 89109</t>
  </si>
  <si>
    <t>Расходы на реализацию полномочий в сфере жилищно-коммунального комплекса (доля софинансирования местного бюджета)</t>
  </si>
  <si>
    <t>40 6 00 S2591</t>
  </si>
  <si>
    <t>41 0 00 00000</t>
  </si>
  <si>
    <t>41 1 0089020</t>
  </si>
  <si>
    <t xml:space="preserve">Расходы  на благоустройство территорий муниципальных образований </t>
  </si>
  <si>
    <t>40 6 00 89106</t>
  </si>
  <si>
    <t>Основное мероприятие "Федеральный проект "Формирование комфортной городской среды"</t>
  </si>
  <si>
    <t>40 6 F2 00000</t>
  </si>
  <si>
    <t xml:space="preserve">Реализация программ формирования современной городской среды </t>
  </si>
  <si>
    <t>40 6 F2 55550</t>
  </si>
  <si>
    <t>Мероприятия в области экологической безопасности</t>
  </si>
  <si>
    <t>40 4 00 00000</t>
  </si>
  <si>
    <t>Расходы на создание площадок временного накопления твердых коммунальных отходов</t>
  </si>
  <si>
    <t>40 4 00 89061</t>
  </si>
  <si>
    <t>Культура, кинематография</t>
  </si>
  <si>
    <t>Культура</t>
  </si>
  <si>
    <t>Непрограммные направления  деятельности</t>
  </si>
  <si>
    <t>Мероприятия в области культуры  и кинематографии</t>
  </si>
  <si>
    <t>40 7 00 00000</t>
  </si>
  <si>
    <t>Расходы на обеспечение деятельности (оказание услуг) муниципальных учреждений</t>
  </si>
  <si>
    <t>40 7 00 00590</t>
  </si>
  <si>
    <t xml:space="preserve">Субсидии бюджетным учреждениям </t>
  </si>
  <si>
    <t xml:space="preserve"> Мероприятия в сфере культуры и кинематографии </t>
  </si>
  <si>
    <t>40 7 00 20700</t>
  </si>
  <si>
    <t>Расходы на развитие сферы культуры в муниципальных образованиях Ханты-Мансийского автономного округа</t>
  </si>
  <si>
    <t>40 7 00 82520</t>
  </si>
  <si>
    <t>Расходы на развитие сферы культуры в муниципальных образованиях Ханты-Мансийского автономного округа (доля софинансирования)</t>
  </si>
  <si>
    <t>40 7 00 S2520</t>
  </si>
  <si>
    <t xml:space="preserve">Другие вопросы в области культуры, кинематографии </t>
  </si>
  <si>
    <t xml:space="preserve">Расходы на проведение организационных и культурно-просветительных мероприятий с ветеранами Октябрьского района </t>
  </si>
  <si>
    <t>40 7 00 89031</t>
  </si>
  <si>
    <t>Субсидии некоммерческим организациям (за исключением государственных(муниципальных)учреждений, государственных корпораций(компаний), публично-правовых компаний)</t>
  </si>
  <si>
    <t xml:space="preserve">Расходы на стимулирование культурного разнообразия в Октябрьском районе </t>
  </si>
  <si>
    <t>40 7 00 89032</t>
  </si>
  <si>
    <t>Расходы на методическое обеспечение и подготовку муниципальных служащих и работников муниципальных учреждений по вопросам профилактике терроризма</t>
  </si>
  <si>
    <t>40 7 00 89212</t>
  </si>
  <si>
    <t>Пенсии за выслугу лет, дополнительное пенсионное обеспечение</t>
  </si>
  <si>
    <t>40 1 00 02410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</si>
  <si>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</si>
  <si>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</si>
  <si>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 культура</t>
  </si>
  <si>
    <t>Мероприятия в области физической культуры и спорта</t>
  </si>
  <si>
    <t>41 0 00 00590</t>
  </si>
  <si>
    <t>Мероприятия в сфере физической культуры и спорта в рамках непрограммного направления деятельности</t>
  </si>
  <si>
    <t>41 0 00 20800</t>
  </si>
  <si>
    <t>42 0 00 20800</t>
  </si>
  <si>
    <t xml:space="preserve">Расходы  на проведение мероприятий по физической культуре и спорту </t>
  </si>
  <si>
    <t>41 0 00 89041</t>
  </si>
  <si>
    <t>Наказы избирателей депутатам Думы Ханты-Мансийского автономного округа - Югры</t>
  </si>
  <si>
    <t>41 2 00 00000</t>
  </si>
  <si>
    <t>Расходы на финансирование наказов избирателей депутатам Думы Ханты-Мансийского автономного округа - Югры</t>
  </si>
  <si>
    <t>41 2 00 85160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</si>
</sst>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_р_."/>
    <numFmt numFmtId="165" formatCode="#,##0.0"/>
    <numFmt numFmtId="166" formatCode="0.0"/>
    <numFmt numFmtId="167" formatCode="#,##0_р_."/>
    <numFmt numFmtId="168" formatCode="00"/>
    <numFmt numFmtId="169" formatCode="#,##0.00_р_."/>
    <numFmt numFmtId="170" formatCode="0.0%"/>
    <numFmt numFmtId="171" formatCode="0.0000"/>
    <numFmt numFmtId="172" formatCode="0000000"/>
    <numFmt numFmtId="173" formatCode="000"/>
    <numFmt numFmtId="174" formatCode="#,##0.0;[Red]\-#,##0.0;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sz val="8"/>
      <name val="Times New Roman"/>
      <family val="1"/>
    </font>
    <font>
      <b/>
      <sz val="8"/>
      <color indexed="8"/>
      <name val="Times New Roman"/>
      <family val="1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27"/>
      </patternFill>
    </fill>
    <fill>
      <patternFill patternType="solid">
        <fgColor theme="0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9" fontId="15" fillId="0" borderId="0" applyFont="0" applyFill="0" applyBorder="0" applyAlignment="0" applyProtection="0"/>
    <xf numFmtId="0" fontId="1" fillId="0" borderId="0"/>
    <xf numFmtId="0" fontId="4" fillId="0" borderId="0"/>
    <xf numFmtId="9" fontId="21" fillId="0" borderId="0" applyFont="0" applyFill="0" applyBorder="0" applyAlignment="0" applyProtection="0"/>
    <xf numFmtId="0" fontId="3" fillId="0" borderId="0"/>
    <xf numFmtId="0" fontId="24" fillId="0" borderId="0"/>
    <xf numFmtId="0" fontId="4" fillId="0" borderId="0"/>
  </cellStyleXfs>
  <cellXfs count="271">
    <xf numFmtId="0" fontId="0" fillId="0" borderId="0" xfId="0"/>
    <xf numFmtId="0" fontId="0" fillId="2" borderId="0" xfId="0" applyFill="1" applyAlignment="1">
      <alignment wrapText="1"/>
    </xf>
    <xf numFmtId="0" fontId="3" fillId="2" borderId="0" xfId="0" applyFont="1" applyFill="1" applyAlignment="1">
      <alignment wrapText="1"/>
    </xf>
    <xf numFmtId="0" fontId="5" fillId="2" borderId="0" xfId="1" applyFont="1" applyFill="1" applyAlignment="1" applyProtection="1">
      <alignment horizontal="right"/>
      <protection hidden="1"/>
    </xf>
    <xf numFmtId="0" fontId="0" fillId="2" borderId="0" xfId="0" applyFill="1"/>
    <xf numFmtId="0" fontId="5" fillId="0" borderId="0" xfId="1" applyFont="1" applyFill="1" applyAlignment="1" applyProtection="1">
      <alignment horizontal="right"/>
      <protection hidden="1"/>
    </xf>
    <xf numFmtId="0" fontId="5" fillId="0" borderId="0" xfId="1" applyFont="1" applyFill="1" applyAlignment="1" applyProtection="1">
      <protection hidden="1"/>
    </xf>
    <xf numFmtId="0" fontId="0" fillId="0" borderId="0" xfId="0" applyFill="1"/>
    <xf numFmtId="0" fontId="0" fillId="2" borderId="0" xfId="0" applyFill="1" applyAlignment="1"/>
    <xf numFmtId="0" fontId="6" fillId="2" borderId="0" xfId="0" applyFont="1" applyFill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7" fillId="0" borderId="0" xfId="0" applyFont="1" applyFill="1" applyAlignment="1"/>
    <xf numFmtId="0" fontId="6" fillId="2" borderId="1" xfId="0" applyFont="1" applyFill="1" applyBorder="1" applyAlignment="1"/>
    <xf numFmtId="0" fontId="6" fillId="0" borderId="1" xfId="0" applyFont="1" applyFill="1" applyBorder="1" applyAlignment="1"/>
    <xf numFmtId="0" fontId="7" fillId="0" borderId="1" xfId="0" applyFont="1" applyFill="1" applyBorder="1" applyAlignment="1"/>
    <xf numFmtId="0" fontId="6" fillId="0" borderId="0" xfId="0" applyFont="1" applyFill="1" applyBorder="1" applyAlignment="1"/>
    <xf numFmtId="0" fontId="6" fillId="2" borderId="0" xfId="0" applyFont="1" applyFill="1" applyBorder="1" applyAlignment="1"/>
    <xf numFmtId="0" fontId="9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0" xfId="0" applyFont="1" applyFill="1"/>
    <xf numFmtId="0" fontId="9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justify" wrapText="1"/>
    </xf>
    <xf numFmtId="164" fontId="11" fillId="4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vertical="top" wrapText="1"/>
    </xf>
    <xf numFmtId="49" fontId="11" fillId="2" borderId="4" xfId="0" applyNumberFormat="1" applyFont="1" applyFill="1" applyBorder="1" applyAlignment="1">
      <alignment horizontal="center" vertical="top" wrapText="1"/>
    </xf>
    <xf numFmtId="49" fontId="9" fillId="2" borderId="4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justify" vertical="top" wrapText="1"/>
    </xf>
    <xf numFmtId="0" fontId="12" fillId="2" borderId="0" xfId="0" applyFont="1" applyFill="1"/>
    <xf numFmtId="0" fontId="11" fillId="2" borderId="4" xfId="0" applyFont="1" applyFill="1" applyBorder="1" applyAlignment="1">
      <alignment horizontal="justify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 wrapText="1"/>
    </xf>
    <xf numFmtId="165" fontId="0" fillId="2" borderId="0" xfId="0" applyNumberFormat="1" applyFill="1"/>
    <xf numFmtId="164" fontId="0" fillId="2" borderId="0" xfId="0" applyNumberFormat="1" applyFill="1"/>
    <xf numFmtId="0" fontId="8" fillId="2" borderId="4" xfId="0" applyFont="1" applyFill="1" applyBorder="1" applyAlignment="1">
      <alignment horizontal="justify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4" fontId="11" fillId="3" borderId="4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9" fillId="0" borderId="0" xfId="24" applyFont="1"/>
    <xf numFmtId="0" fontId="9" fillId="5" borderId="0" xfId="24" applyFont="1" applyFill="1"/>
    <xf numFmtId="0" fontId="9" fillId="5" borderId="0" xfId="1" applyFont="1" applyFill="1" applyAlignment="1" applyProtection="1">
      <alignment horizontal="right"/>
      <protection hidden="1"/>
    </xf>
    <xf numFmtId="0" fontId="16" fillId="0" borderId="0" xfId="28" applyFont="1"/>
    <xf numFmtId="0" fontId="16" fillId="0" borderId="0" xfId="28" applyFont="1" applyAlignment="1">
      <alignment horizontal="center" vertical="center"/>
    </xf>
    <xf numFmtId="0" fontId="16" fillId="2" borderId="0" xfId="28" applyFont="1" applyFill="1" applyAlignment="1">
      <alignment horizontal="center" vertical="center"/>
    </xf>
    <xf numFmtId="0" fontId="9" fillId="0" borderId="0" xfId="28" applyFont="1"/>
    <xf numFmtId="0" fontId="16" fillId="2" borderId="0" xfId="28" applyFont="1" applyFill="1"/>
    <xf numFmtId="0" fontId="16" fillId="6" borderId="0" xfId="28" applyFont="1" applyFill="1"/>
    <xf numFmtId="0" fontId="18" fillId="2" borderId="4" xfId="24" applyFont="1" applyFill="1" applyBorder="1" applyAlignment="1">
      <alignment horizontal="center" vertical="center" wrapText="1"/>
    </xf>
    <xf numFmtId="0" fontId="18" fillId="2" borderId="4" xfId="28" applyFont="1" applyFill="1" applyBorder="1" applyAlignment="1">
      <alignment horizontal="center" vertical="center" wrapText="1"/>
    </xf>
    <xf numFmtId="0" fontId="18" fillId="2" borderId="2" xfId="29" applyNumberFormat="1" applyFont="1" applyFill="1" applyBorder="1" applyAlignment="1" applyProtection="1">
      <alignment horizontal="center" vertical="center" wrapText="1"/>
      <protection hidden="1"/>
    </xf>
    <xf numFmtId="166" fontId="18" fillId="2" borderId="2" xfId="29" applyNumberFormat="1" applyFont="1" applyFill="1" applyBorder="1" applyAlignment="1">
      <alignment horizontal="center" vertical="center" wrapText="1"/>
    </xf>
    <xf numFmtId="0" fontId="18" fillId="2" borderId="4" xfId="29" applyFont="1" applyFill="1" applyBorder="1" applyAlignment="1">
      <alignment horizontal="center" vertical="center" wrapText="1"/>
    </xf>
    <xf numFmtId="0" fontId="18" fillId="2" borderId="4" xfId="29" applyNumberFormat="1" applyFont="1" applyFill="1" applyBorder="1" applyAlignment="1" applyProtection="1">
      <alignment horizontal="center" vertical="center" wrapText="1"/>
      <protection hidden="1"/>
    </xf>
    <xf numFmtId="166" fontId="18" fillId="2" borderId="4" xfId="29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29" applyNumberFormat="1" applyFont="1" applyFill="1" applyBorder="1" applyAlignment="1" applyProtection="1">
      <alignment horizontal="center" vertical="center" wrapText="1"/>
      <protection hidden="1"/>
    </xf>
    <xf numFmtId="0" fontId="18" fillId="6" borderId="4" xfId="29" applyFont="1" applyFill="1" applyBorder="1" applyAlignment="1">
      <alignment horizontal="center" vertical="center" wrapText="1"/>
    </xf>
    <xf numFmtId="0" fontId="19" fillId="2" borderId="0" xfId="28" applyFont="1" applyFill="1"/>
    <xf numFmtId="0" fontId="10" fillId="0" borderId="4" xfId="28" applyFont="1" applyBorder="1" applyAlignment="1">
      <alignment horizontal="left" vertical="center" wrapText="1"/>
    </xf>
    <xf numFmtId="49" fontId="10" fillId="0" borderId="4" xfId="28" applyNumberFormat="1" applyFont="1" applyFill="1" applyBorder="1" applyAlignment="1">
      <alignment horizontal="center" vertical="center" wrapText="1"/>
    </xf>
    <xf numFmtId="49" fontId="10" fillId="5" borderId="4" xfId="28" applyNumberFormat="1" applyFont="1" applyFill="1" applyBorder="1" applyAlignment="1">
      <alignment horizontal="center" vertical="center" wrapText="1"/>
    </xf>
    <xf numFmtId="167" fontId="10" fillId="5" borderId="4" xfId="28" applyNumberFormat="1" applyFont="1" applyFill="1" applyBorder="1" applyAlignment="1">
      <alignment horizontal="center" vertical="center" wrapText="1"/>
    </xf>
    <xf numFmtId="164" fontId="10" fillId="5" borderId="4" xfId="28" applyNumberFormat="1" applyFont="1" applyFill="1" applyBorder="1" applyAlignment="1">
      <alignment horizontal="center" vertical="center" wrapText="1"/>
    </xf>
    <xf numFmtId="164" fontId="10" fillId="2" borderId="4" xfId="28" applyNumberFormat="1" applyFont="1" applyFill="1" applyBorder="1" applyAlignment="1">
      <alignment horizontal="center" vertical="center" wrapText="1"/>
    </xf>
    <xf numFmtId="164" fontId="10" fillId="6" borderId="4" xfId="28" applyNumberFormat="1" applyFont="1" applyFill="1" applyBorder="1" applyAlignment="1">
      <alignment horizontal="center" vertical="center" wrapText="1"/>
    </xf>
    <xf numFmtId="0" fontId="20" fillId="0" borderId="0" xfId="28" applyFont="1"/>
    <xf numFmtId="0" fontId="9" fillId="0" borderId="4" xfId="28" applyFont="1" applyBorder="1" applyAlignment="1">
      <alignment horizontal="left" vertical="center" wrapText="1"/>
    </xf>
    <xf numFmtId="49" fontId="9" fillId="0" borderId="4" xfId="28" applyNumberFormat="1" applyFont="1" applyFill="1" applyBorder="1" applyAlignment="1">
      <alignment horizontal="center" vertical="center" wrapText="1"/>
    </xf>
    <xf numFmtId="49" fontId="9" fillId="5" borderId="4" xfId="28" applyNumberFormat="1" applyFont="1" applyFill="1" applyBorder="1" applyAlignment="1">
      <alignment horizontal="center" vertical="center" wrapText="1"/>
    </xf>
    <xf numFmtId="167" fontId="9" fillId="5" borderId="4" xfId="28" applyNumberFormat="1" applyFont="1" applyFill="1" applyBorder="1" applyAlignment="1">
      <alignment horizontal="center" vertical="center" wrapText="1"/>
    </xf>
    <xf numFmtId="164" fontId="9" fillId="5" borderId="4" xfId="28" applyNumberFormat="1" applyFont="1" applyFill="1" applyBorder="1" applyAlignment="1">
      <alignment horizontal="center" vertical="center" wrapText="1"/>
    </xf>
    <xf numFmtId="166" fontId="9" fillId="5" borderId="4" xfId="30" applyNumberFormat="1" applyFont="1" applyFill="1" applyBorder="1" applyAlignment="1">
      <alignment horizontal="center" vertical="center" wrapText="1"/>
    </xf>
    <xf numFmtId="0" fontId="16" fillId="0" borderId="4" xfId="28" applyFont="1" applyBorder="1" applyAlignment="1">
      <alignment horizontal="center" vertical="center"/>
    </xf>
    <xf numFmtId="164" fontId="9" fillId="2" borderId="4" xfId="28" applyNumberFormat="1" applyFont="1" applyFill="1" applyBorder="1" applyAlignment="1">
      <alignment horizontal="center" vertical="center" wrapText="1"/>
    </xf>
    <xf numFmtId="166" fontId="9" fillId="0" borderId="4" xfId="28" applyNumberFormat="1" applyFont="1" applyBorder="1" applyAlignment="1">
      <alignment horizontal="center" vertical="center"/>
    </xf>
    <xf numFmtId="166" fontId="16" fillId="2" borderId="4" xfId="28" applyNumberFormat="1" applyFont="1" applyFill="1" applyBorder="1" applyAlignment="1">
      <alignment horizontal="center" vertical="center"/>
    </xf>
    <xf numFmtId="166" fontId="16" fillId="6" borderId="4" xfId="28" applyNumberFormat="1" applyFont="1" applyFill="1" applyBorder="1" applyAlignment="1">
      <alignment horizontal="center" vertical="center"/>
    </xf>
    <xf numFmtId="164" fontId="9" fillId="6" borderId="4" xfId="28" applyNumberFormat="1" applyFont="1" applyFill="1" applyBorder="1" applyAlignment="1">
      <alignment horizontal="center" vertical="center" wrapText="1"/>
    </xf>
    <xf numFmtId="0" fontId="9" fillId="5" borderId="4" xfId="28" applyFont="1" applyFill="1" applyBorder="1" applyAlignment="1">
      <alignment horizontal="left" vertical="center" wrapText="1"/>
    </xf>
    <xf numFmtId="0" fontId="9" fillId="0" borderId="4" xfId="28" applyFont="1" applyFill="1" applyBorder="1" applyAlignment="1">
      <alignment horizontal="left" vertical="center" wrapText="1"/>
    </xf>
    <xf numFmtId="0" fontId="10" fillId="0" borderId="4" xfId="28" applyFont="1" applyFill="1" applyBorder="1" applyAlignment="1">
      <alignment horizontal="left" vertical="center" wrapText="1"/>
    </xf>
    <xf numFmtId="0" fontId="9" fillId="0" borderId="4" xfId="28" applyFont="1" applyFill="1" applyBorder="1" applyAlignment="1">
      <alignment vertical="center"/>
    </xf>
    <xf numFmtId="0" fontId="17" fillId="0" borderId="4" xfId="28" applyFont="1" applyBorder="1" applyAlignment="1">
      <alignment horizontal="left" vertical="center" wrapText="1"/>
    </xf>
    <xf numFmtId="0" fontId="9" fillId="5" borderId="4" xfId="31" applyFont="1" applyFill="1" applyBorder="1" applyAlignment="1">
      <alignment horizontal="left" vertical="center" wrapText="1"/>
    </xf>
    <xf numFmtId="49" fontId="9" fillId="5" borderId="4" xfId="31" applyNumberFormat="1" applyFont="1" applyFill="1" applyBorder="1" applyAlignment="1">
      <alignment horizontal="center" vertical="center" wrapText="1"/>
    </xf>
    <xf numFmtId="49" fontId="22" fillId="5" borderId="4" xfId="31" applyNumberFormat="1" applyFont="1" applyFill="1" applyBorder="1" applyAlignment="1">
      <alignment horizontal="center" vertical="center" wrapText="1"/>
    </xf>
    <xf numFmtId="0" fontId="17" fillId="0" borderId="4" xfId="28" applyFont="1" applyFill="1" applyBorder="1" applyAlignment="1">
      <alignment horizontal="left" vertical="center" wrapText="1"/>
    </xf>
    <xf numFmtId="0" fontId="9" fillId="0" borderId="2" xfId="28" applyFont="1" applyBorder="1" applyAlignment="1">
      <alignment horizontal="left" vertical="center" wrapText="1"/>
    </xf>
    <xf numFmtId="49" fontId="9" fillId="0" borderId="2" xfId="28" applyNumberFormat="1" applyFont="1" applyFill="1" applyBorder="1" applyAlignment="1">
      <alignment horizontal="center" vertical="center" wrapText="1"/>
    </xf>
    <xf numFmtId="49" fontId="9" fillId="5" borderId="2" xfId="28" applyNumberFormat="1" applyFont="1" applyFill="1" applyBorder="1" applyAlignment="1">
      <alignment horizontal="center" vertical="center" wrapText="1"/>
    </xf>
    <xf numFmtId="0" fontId="9" fillId="2" borderId="4" xfId="29" applyNumberFormat="1" applyFont="1" applyFill="1" applyBorder="1" applyAlignment="1" applyProtection="1">
      <alignment horizontal="left" vertical="center" wrapText="1"/>
      <protection hidden="1"/>
    </xf>
    <xf numFmtId="49" fontId="9" fillId="2" borderId="4" xfId="28" applyNumberFormat="1" applyFont="1" applyFill="1" applyBorder="1" applyAlignment="1">
      <alignment horizontal="center" vertical="center" wrapText="1"/>
    </xf>
    <xf numFmtId="167" fontId="9" fillId="5" borderId="6" xfId="28" applyNumberFormat="1" applyFont="1" applyFill="1" applyBorder="1" applyAlignment="1">
      <alignment horizontal="center" vertical="center" wrapText="1"/>
    </xf>
    <xf numFmtId="0" fontId="9" fillId="2" borderId="4" xfId="28" applyFont="1" applyFill="1" applyBorder="1" applyAlignment="1">
      <alignment horizontal="left" vertical="center" wrapText="1"/>
    </xf>
    <xf numFmtId="0" fontId="10" fillId="7" borderId="4" xfId="29" applyNumberFormat="1" applyFont="1" applyFill="1" applyBorder="1" applyAlignment="1" applyProtection="1">
      <alignment vertical="center" wrapText="1"/>
      <protection hidden="1"/>
    </xf>
    <xf numFmtId="168" fontId="10" fillId="7" borderId="4" xfId="29" applyNumberFormat="1" applyFont="1" applyFill="1" applyBorder="1" applyAlignment="1" applyProtection="1">
      <alignment horizontal="center" vertical="center" wrapText="1"/>
      <protection hidden="1"/>
    </xf>
    <xf numFmtId="168" fontId="10" fillId="7" borderId="4" xfId="29" applyNumberFormat="1" applyFont="1" applyFill="1" applyBorder="1" applyAlignment="1" applyProtection="1">
      <alignment horizontal="center" vertical="center"/>
      <protection hidden="1"/>
    </xf>
    <xf numFmtId="167" fontId="10" fillId="5" borderId="6" xfId="28" applyNumberFormat="1" applyFont="1" applyFill="1" applyBorder="1" applyAlignment="1">
      <alignment horizontal="center" vertical="center" wrapText="1"/>
    </xf>
    <xf numFmtId="166" fontId="10" fillId="5" borderId="4" xfId="30" applyNumberFormat="1" applyFont="1" applyFill="1" applyBorder="1" applyAlignment="1">
      <alignment horizontal="center" vertical="center" wrapText="1"/>
    </xf>
    <xf numFmtId="166" fontId="10" fillId="0" borderId="4" xfId="28" applyNumberFormat="1" applyFont="1" applyBorder="1" applyAlignment="1">
      <alignment horizontal="center" vertical="center"/>
    </xf>
    <xf numFmtId="166" fontId="20" fillId="2" borderId="4" xfId="28" applyNumberFormat="1" applyFont="1" applyFill="1" applyBorder="1" applyAlignment="1">
      <alignment horizontal="center" vertical="center"/>
    </xf>
    <xf numFmtId="166" fontId="20" fillId="6" borderId="4" xfId="28" applyNumberFormat="1" applyFont="1" applyFill="1" applyBorder="1" applyAlignment="1">
      <alignment horizontal="center" vertical="center"/>
    </xf>
    <xf numFmtId="0" fontId="9" fillId="2" borderId="4" xfId="29" applyNumberFormat="1" applyFont="1" applyFill="1" applyBorder="1" applyAlignment="1" applyProtection="1">
      <alignment vertical="center" wrapText="1"/>
      <protection hidden="1"/>
    </xf>
    <xf numFmtId="168" fontId="9" fillId="2" borderId="4" xfId="29" applyNumberFormat="1" applyFont="1" applyFill="1" applyBorder="1" applyAlignment="1" applyProtection="1">
      <alignment horizontal="center" vertical="center" wrapText="1"/>
      <protection hidden="1"/>
    </xf>
    <xf numFmtId="168" fontId="9" fillId="2" borderId="4" xfId="29" quotePrefix="1" applyNumberFormat="1" applyFont="1" applyFill="1" applyBorder="1" applyAlignment="1" applyProtection="1">
      <alignment horizontal="center" vertical="center"/>
      <protection hidden="1"/>
    </xf>
    <xf numFmtId="0" fontId="10" fillId="2" borderId="4" xfId="28" applyFont="1" applyFill="1" applyBorder="1" applyAlignment="1">
      <alignment horizontal="left" vertical="center" wrapText="1"/>
    </xf>
    <xf numFmtId="49" fontId="10" fillId="2" borderId="4" xfId="28" applyNumberFormat="1" applyFont="1" applyFill="1" applyBorder="1" applyAlignment="1">
      <alignment horizontal="center" vertical="center" wrapText="1"/>
    </xf>
    <xf numFmtId="0" fontId="20" fillId="0" borderId="4" xfId="28" applyFont="1" applyBorder="1" applyAlignment="1">
      <alignment horizontal="center" vertical="center"/>
    </xf>
    <xf numFmtId="0" fontId="17" fillId="2" borderId="4" xfId="28" applyFont="1" applyFill="1" applyBorder="1" applyAlignment="1">
      <alignment horizontal="left" vertical="center" wrapText="1"/>
    </xf>
    <xf numFmtId="0" fontId="17" fillId="0" borderId="7" xfId="28" applyFont="1" applyBorder="1" applyAlignment="1">
      <alignment horizontal="left" vertical="center" wrapText="1"/>
    </xf>
    <xf numFmtId="49" fontId="9" fillId="0" borderId="7" xfId="28" applyNumberFormat="1" applyFont="1" applyFill="1" applyBorder="1" applyAlignment="1">
      <alignment horizontal="center" vertical="center" wrapText="1"/>
    </xf>
    <xf numFmtId="49" fontId="9" fillId="5" borderId="7" xfId="28" applyNumberFormat="1" applyFont="1" applyFill="1" applyBorder="1" applyAlignment="1">
      <alignment horizontal="center" vertical="center" wrapText="1"/>
    </xf>
    <xf numFmtId="0" fontId="23" fillId="5" borderId="4" xfId="31" applyFont="1" applyFill="1" applyBorder="1" applyAlignment="1">
      <alignment horizontal="left" vertical="center" wrapText="1"/>
    </xf>
    <xf numFmtId="49" fontId="10" fillId="5" borderId="4" xfId="31" applyNumberFormat="1" applyFont="1" applyFill="1" applyBorder="1" applyAlignment="1">
      <alignment horizontal="center" vertical="center" wrapText="1"/>
    </xf>
    <xf numFmtId="0" fontId="20" fillId="2" borderId="4" xfId="28" applyFont="1" applyFill="1" applyBorder="1" applyAlignment="1">
      <alignment horizontal="center" vertical="center"/>
    </xf>
    <xf numFmtId="0" fontId="17" fillId="5" borderId="4" xfId="31" applyFont="1" applyFill="1" applyBorder="1" applyAlignment="1">
      <alignment horizontal="left" vertical="center" wrapText="1"/>
    </xf>
    <xf numFmtId="0" fontId="23" fillId="5" borderId="4" xfId="28" applyFont="1" applyFill="1" applyBorder="1" applyAlignment="1">
      <alignment horizontal="left" vertical="center" wrapText="1"/>
    </xf>
    <xf numFmtId="166" fontId="10" fillId="5" borderId="4" xfId="28" applyNumberFormat="1" applyFont="1" applyFill="1" applyBorder="1" applyAlignment="1">
      <alignment horizontal="center" vertical="center" wrapText="1"/>
    </xf>
    <xf numFmtId="166" fontId="10" fillId="2" borderId="4" xfId="28" applyNumberFormat="1" applyFont="1" applyFill="1" applyBorder="1" applyAlignment="1">
      <alignment horizontal="center" vertical="center" wrapText="1"/>
    </xf>
    <xf numFmtId="166" fontId="10" fillId="6" borderId="4" xfId="28" applyNumberFormat="1" applyFont="1" applyFill="1" applyBorder="1" applyAlignment="1">
      <alignment horizontal="center" vertical="center" wrapText="1"/>
    </xf>
    <xf numFmtId="0" fontId="17" fillId="5" borderId="4" xfId="28" applyFont="1" applyFill="1" applyBorder="1" applyAlignment="1">
      <alignment horizontal="left" vertical="center" wrapText="1"/>
    </xf>
    <xf numFmtId="0" fontId="16" fillId="5" borderId="4" xfId="28" applyFont="1" applyFill="1" applyBorder="1" applyAlignment="1">
      <alignment horizontal="center" vertical="center"/>
    </xf>
    <xf numFmtId="0" fontId="16" fillId="5" borderId="0" xfId="28" applyFont="1" applyFill="1"/>
    <xf numFmtId="0" fontId="17" fillId="2" borderId="0" xfId="0" applyFont="1" applyFill="1" applyBorder="1" applyAlignment="1">
      <alignment horizontal="left" vertical="top" wrapText="1"/>
    </xf>
    <xf numFmtId="165" fontId="9" fillId="5" borderId="4" xfId="28" applyNumberFormat="1" applyFont="1" applyFill="1" applyBorder="1" applyAlignment="1">
      <alignment horizontal="center" vertical="center" wrapText="1"/>
    </xf>
    <xf numFmtId="0" fontId="9" fillId="0" borderId="2" xfId="28" applyFont="1" applyFill="1" applyBorder="1" applyAlignment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8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10" fillId="0" borderId="7" xfId="28" applyNumberFormat="1" applyFont="1" applyFill="1" applyBorder="1" applyAlignment="1">
      <alignment horizontal="center" vertical="center" wrapText="1"/>
    </xf>
    <xf numFmtId="49" fontId="10" fillId="5" borderId="7" xfId="28" applyNumberFormat="1" applyFont="1" applyFill="1" applyBorder="1" applyAlignment="1">
      <alignment horizontal="center" vertical="center" wrapText="1"/>
    </xf>
    <xf numFmtId="169" fontId="10" fillId="5" borderId="4" xfId="28" applyNumberFormat="1" applyFont="1" applyFill="1" applyBorder="1" applyAlignment="1">
      <alignment horizontal="center" vertical="center" wrapText="1"/>
    </xf>
    <xf numFmtId="165" fontId="10" fillId="2" borderId="4" xfId="28" applyNumberFormat="1" applyFont="1" applyFill="1" applyBorder="1" applyAlignment="1">
      <alignment horizontal="center" vertical="center" wrapText="1"/>
    </xf>
    <xf numFmtId="0" fontId="9" fillId="5" borderId="0" xfId="28" applyFont="1" applyFill="1"/>
    <xf numFmtId="2" fontId="9" fillId="5" borderId="0" xfId="28" applyNumberFormat="1" applyFont="1" applyFill="1"/>
    <xf numFmtId="164" fontId="9" fillId="2" borderId="0" xfId="28" applyNumberFormat="1" applyFont="1" applyFill="1" applyBorder="1" applyAlignment="1">
      <alignment horizontal="center" vertical="center" wrapText="1"/>
    </xf>
    <xf numFmtId="0" fontId="17" fillId="0" borderId="0" xfId="28" applyFont="1"/>
    <xf numFmtId="165" fontId="16" fillId="5" borderId="0" xfId="28" applyNumberFormat="1" applyFont="1" applyFill="1"/>
    <xf numFmtId="170" fontId="17" fillId="0" borderId="0" xfId="30" applyNumberFormat="1" applyFont="1"/>
    <xf numFmtId="165" fontId="16" fillId="0" borderId="0" xfId="28" applyNumberFormat="1" applyFont="1" applyAlignment="1">
      <alignment horizontal="center" vertical="center"/>
    </xf>
    <xf numFmtId="171" fontId="9" fillId="5" borderId="0" xfId="28" applyNumberFormat="1" applyFont="1" applyFill="1"/>
    <xf numFmtId="0" fontId="16" fillId="2" borderId="0" xfId="28" applyFont="1" applyFill="1" applyBorder="1"/>
    <xf numFmtId="0" fontId="16" fillId="2" borderId="0" xfId="28" applyFont="1" applyFill="1" applyBorder="1" applyAlignment="1">
      <alignment horizontal="center" vertical="center"/>
    </xf>
    <xf numFmtId="166" fontId="16" fillId="2" borderId="6" xfId="28" applyNumberFormat="1" applyFont="1" applyFill="1" applyBorder="1" applyAlignment="1">
      <alignment horizontal="center" vertical="center"/>
    </xf>
    <xf numFmtId="0" fontId="16" fillId="2" borderId="6" xfId="28" applyFont="1" applyFill="1" applyBorder="1" applyAlignment="1">
      <alignment horizontal="center" vertical="center"/>
    </xf>
    <xf numFmtId="0" fontId="16" fillId="2" borderId="4" xfId="28" applyFont="1" applyFill="1" applyBorder="1" applyAlignment="1">
      <alignment horizontal="center" vertical="center"/>
    </xf>
    <xf numFmtId="0" fontId="16" fillId="6" borderId="4" xfId="28" applyFont="1" applyFill="1" applyBorder="1" applyAlignment="1">
      <alignment horizontal="center" vertical="center"/>
    </xf>
    <xf numFmtId="0" fontId="9" fillId="2" borderId="0" xfId="29" applyFont="1" applyFill="1"/>
    <xf numFmtId="0" fontId="10" fillId="2" borderId="0" xfId="29" applyNumberFormat="1" applyFont="1" applyFill="1" applyAlignment="1" applyProtection="1">
      <alignment horizontal="center" vertical="center"/>
      <protection hidden="1"/>
    </xf>
    <xf numFmtId="0" fontId="10" fillId="2" borderId="0" xfId="29" applyNumberFormat="1" applyFont="1" applyFill="1" applyAlignment="1" applyProtection="1">
      <alignment horizontal="center"/>
      <protection hidden="1"/>
    </xf>
    <xf numFmtId="0" fontId="9" fillId="2" borderId="0" xfId="29" applyNumberFormat="1" applyFont="1" applyFill="1" applyAlignment="1" applyProtection="1">
      <alignment horizontal="center"/>
      <protection hidden="1"/>
    </xf>
    <xf numFmtId="0" fontId="9" fillId="2" borderId="4" xfId="29" applyNumberFormat="1" applyFont="1" applyFill="1" applyBorder="1" applyAlignment="1" applyProtection="1">
      <alignment horizontal="center" vertical="center" wrapText="1"/>
      <protection hidden="1"/>
    </xf>
    <xf numFmtId="0" fontId="9" fillId="2" borderId="4" xfId="29" applyNumberFormat="1" applyFont="1" applyFill="1" applyBorder="1" applyAlignment="1" applyProtection="1">
      <alignment horizontal="center" vertical="center" textRotation="255" wrapText="1"/>
      <protection hidden="1"/>
    </xf>
    <xf numFmtId="166" fontId="9" fillId="2" borderId="4" xfId="29" applyNumberFormat="1" applyFont="1" applyFill="1" applyBorder="1" applyAlignment="1" applyProtection="1">
      <alignment horizontal="center" vertical="center" wrapText="1"/>
      <protection hidden="1"/>
    </xf>
    <xf numFmtId="0" fontId="9" fillId="2" borderId="6" xfId="29" applyNumberFormat="1" applyFont="1" applyFill="1" applyBorder="1" applyAlignment="1" applyProtection="1">
      <alignment horizontal="center" vertical="center" wrapText="1"/>
      <protection hidden="1"/>
    </xf>
    <xf numFmtId="0" fontId="9" fillId="2" borderId="0" xfId="29" applyFont="1" applyFill="1" applyAlignment="1">
      <alignment wrapText="1"/>
    </xf>
    <xf numFmtId="0" fontId="8" fillId="7" borderId="4" xfId="29" applyNumberFormat="1" applyFont="1" applyFill="1" applyBorder="1" applyAlignment="1" applyProtection="1">
      <alignment vertical="center" wrapText="1"/>
      <protection hidden="1"/>
    </xf>
    <xf numFmtId="3" fontId="8" fillId="7" borderId="4" xfId="29" quotePrefix="1" applyNumberFormat="1" applyFont="1" applyFill="1" applyBorder="1" applyAlignment="1" applyProtection="1">
      <alignment horizontal="center" vertical="center" wrapText="1"/>
      <protection hidden="1"/>
    </xf>
    <xf numFmtId="165" fontId="8" fillId="7" borderId="4" xfId="29" applyNumberFormat="1" applyFont="1" applyFill="1" applyBorder="1" applyAlignment="1" applyProtection="1">
      <alignment horizontal="center" vertical="center"/>
      <protection hidden="1"/>
    </xf>
    <xf numFmtId="172" fontId="8" fillId="7" borderId="4" xfId="29" applyNumberFormat="1" applyFont="1" applyFill="1" applyBorder="1" applyAlignment="1" applyProtection="1">
      <alignment horizontal="center" vertical="center"/>
      <protection hidden="1"/>
    </xf>
    <xf numFmtId="173" fontId="8" fillId="7" borderId="4" xfId="29" applyNumberFormat="1" applyFont="1" applyFill="1" applyBorder="1" applyAlignment="1" applyProtection="1">
      <alignment horizontal="center" vertical="center" wrapText="1"/>
      <protection hidden="1"/>
    </xf>
    <xf numFmtId="166" fontId="8" fillId="7" borderId="4" xfId="29" applyNumberFormat="1" applyFont="1" applyFill="1" applyBorder="1" applyAlignment="1" applyProtection="1">
      <alignment horizontal="center" vertical="center"/>
      <protection hidden="1"/>
    </xf>
    <xf numFmtId="166" fontId="8" fillId="2" borderId="4" xfId="29" applyNumberFormat="1" applyFont="1" applyFill="1" applyBorder="1" applyAlignment="1">
      <alignment horizontal="center" vertical="center"/>
    </xf>
    <xf numFmtId="0" fontId="8" fillId="2" borderId="0" xfId="29" applyFont="1" applyFill="1"/>
    <xf numFmtId="0" fontId="8" fillId="8" borderId="4" xfId="29" applyNumberFormat="1" applyFont="1" applyFill="1" applyBorder="1" applyAlignment="1" applyProtection="1">
      <alignment vertical="center" wrapText="1"/>
      <protection hidden="1"/>
    </xf>
    <xf numFmtId="168" fontId="8" fillId="8" borderId="4" xfId="29" applyNumberFormat="1" applyFont="1" applyFill="1" applyBorder="1" applyAlignment="1" applyProtection="1">
      <alignment horizontal="center" vertical="center" wrapText="1"/>
      <protection hidden="1"/>
    </xf>
    <xf numFmtId="168" fontId="8" fillId="8" borderId="4" xfId="29" applyNumberFormat="1" applyFont="1" applyFill="1" applyBorder="1" applyAlignment="1" applyProtection="1">
      <alignment horizontal="center" vertical="center"/>
      <protection hidden="1"/>
    </xf>
    <xf numFmtId="172" fontId="8" fillId="8" borderId="4" xfId="29" applyNumberFormat="1" applyFont="1" applyFill="1" applyBorder="1" applyAlignment="1" applyProtection="1">
      <alignment horizontal="center" vertical="center"/>
      <protection hidden="1"/>
    </xf>
    <xf numFmtId="173" fontId="8" fillId="8" borderId="4" xfId="29" applyNumberFormat="1" applyFont="1" applyFill="1" applyBorder="1" applyAlignment="1" applyProtection="1">
      <alignment horizontal="center" vertical="center" wrapText="1"/>
      <protection hidden="1"/>
    </xf>
    <xf numFmtId="166" fontId="8" fillId="8" borderId="4" xfId="29" applyNumberFormat="1" applyFont="1" applyFill="1" applyBorder="1" applyAlignment="1" applyProtection="1">
      <alignment horizontal="center" vertical="center"/>
      <protection hidden="1"/>
    </xf>
    <xf numFmtId="168" fontId="9" fillId="2" borderId="4" xfId="29" applyNumberFormat="1" applyFont="1" applyFill="1" applyBorder="1" applyAlignment="1" applyProtection="1">
      <alignment horizontal="center" vertical="center"/>
      <protection hidden="1"/>
    </xf>
    <xf numFmtId="172" fontId="9" fillId="2" borderId="4" xfId="29" applyNumberFormat="1" applyFont="1" applyFill="1" applyBorder="1" applyAlignment="1" applyProtection="1">
      <alignment horizontal="center" vertical="center"/>
      <protection hidden="1"/>
    </xf>
    <xf numFmtId="173" fontId="9" fillId="2" borderId="4" xfId="29" applyNumberFormat="1" applyFont="1" applyFill="1" applyBorder="1" applyAlignment="1" applyProtection="1">
      <alignment horizontal="center" vertical="center" wrapText="1"/>
      <protection hidden="1"/>
    </xf>
    <xf numFmtId="166" fontId="9" fillId="2" borderId="4" xfId="29" applyNumberFormat="1" applyFont="1" applyFill="1" applyBorder="1" applyAlignment="1" applyProtection="1">
      <alignment horizontal="center" vertical="center"/>
      <protection hidden="1"/>
    </xf>
    <xf numFmtId="166" fontId="9" fillId="2" borderId="4" xfId="29" applyNumberFormat="1" applyFont="1" applyFill="1" applyBorder="1" applyAlignment="1">
      <alignment horizontal="center" vertical="center"/>
    </xf>
    <xf numFmtId="0" fontId="18" fillId="2" borderId="4" xfId="32" applyFont="1" applyFill="1" applyBorder="1" applyAlignment="1">
      <alignment vertical="center" wrapText="1"/>
    </xf>
    <xf numFmtId="0" fontId="9" fillId="2" borderId="4" xfId="32" applyFont="1" applyFill="1" applyBorder="1" applyAlignment="1">
      <alignment vertical="center" wrapText="1"/>
    </xf>
    <xf numFmtId="0" fontId="9" fillId="2" borderId="4" xfId="33" applyNumberFormat="1" applyFont="1" applyFill="1" applyBorder="1" applyAlignment="1" applyProtection="1">
      <alignment vertical="center" wrapText="1"/>
      <protection hidden="1"/>
    </xf>
    <xf numFmtId="0" fontId="9" fillId="2" borderId="4" xfId="29" applyFont="1" applyFill="1" applyBorder="1" applyAlignment="1">
      <alignment horizontal="center" vertical="center"/>
    </xf>
    <xf numFmtId="0" fontId="9" fillId="2" borderId="0" xfId="29" applyFont="1" applyFill="1" applyAlignment="1">
      <alignment vertical="center"/>
    </xf>
    <xf numFmtId="0" fontId="9" fillId="2" borderId="4" xfId="32" applyFont="1" applyFill="1" applyBorder="1" applyAlignment="1">
      <alignment vertical="top" wrapText="1"/>
    </xf>
    <xf numFmtId="166" fontId="9" fillId="2" borderId="4" xfId="29" applyNumberFormat="1" applyFont="1" applyFill="1" applyBorder="1" applyAlignment="1" applyProtection="1">
      <alignment horizontal="center" vertical="top"/>
      <protection hidden="1"/>
    </xf>
    <xf numFmtId="0" fontId="9" fillId="2" borderId="4" xfId="29" applyNumberFormat="1" applyFont="1" applyFill="1" applyBorder="1" applyAlignment="1" applyProtection="1">
      <alignment horizontal="center" vertical="center"/>
      <protection hidden="1"/>
    </xf>
    <xf numFmtId="0" fontId="9" fillId="2" borderId="4" xfId="32" applyFont="1" applyFill="1" applyBorder="1" applyAlignment="1">
      <alignment horizontal="left" vertical="center" wrapText="1"/>
    </xf>
    <xf numFmtId="0" fontId="8" fillId="7" borderId="4" xfId="32" applyFont="1" applyFill="1" applyBorder="1" applyAlignment="1">
      <alignment horizontal="left" vertical="center" wrapText="1"/>
    </xf>
    <xf numFmtId="0" fontId="8" fillId="7" borderId="4" xfId="32" applyFont="1" applyFill="1" applyBorder="1" applyAlignment="1">
      <alignment horizontal="center" vertical="center" wrapText="1"/>
    </xf>
    <xf numFmtId="168" fontId="8" fillId="7" borderId="4" xfId="29" applyNumberFormat="1" applyFont="1" applyFill="1" applyBorder="1" applyAlignment="1" applyProtection="1">
      <alignment horizontal="center" vertical="center"/>
      <protection hidden="1"/>
    </xf>
    <xf numFmtId="0" fontId="8" fillId="8" borderId="4" xfId="32" applyFont="1" applyFill="1" applyBorder="1" applyAlignment="1">
      <alignment horizontal="center" vertical="center" wrapText="1"/>
    </xf>
    <xf numFmtId="0" fontId="9" fillId="2" borderId="4" xfId="32" applyFont="1" applyFill="1" applyBorder="1" applyAlignment="1">
      <alignment horizontal="center" vertical="center" wrapText="1"/>
    </xf>
    <xf numFmtId="168" fontId="8" fillId="7" borderId="4" xfId="29" applyNumberFormat="1" applyFont="1" applyFill="1" applyBorder="1" applyAlignment="1" applyProtection="1">
      <alignment horizontal="center" vertical="center" wrapText="1"/>
      <protection hidden="1"/>
    </xf>
    <xf numFmtId="0" fontId="10" fillId="2" borderId="0" xfId="29" applyFont="1" applyFill="1"/>
    <xf numFmtId="172" fontId="9" fillId="2" borderId="4" xfId="31" applyNumberFormat="1" applyFont="1" applyFill="1" applyBorder="1" applyAlignment="1" applyProtection="1">
      <alignment vertical="center" wrapText="1"/>
      <protection hidden="1"/>
    </xf>
    <xf numFmtId="0" fontId="9" fillId="9" borderId="4" xfId="31" quotePrefix="1" applyNumberFormat="1" applyFont="1" applyFill="1" applyBorder="1" applyAlignment="1" applyProtection="1">
      <alignment horizontal="center" vertical="center"/>
      <protection hidden="1"/>
    </xf>
    <xf numFmtId="0" fontId="9" fillId="9" borderId="4" xfId="31" applyNumberFormat="1" applyFont="1" applyFill="1" applyBorder="1" applyAlignment="1" applyProtection="1">
      <alignment horizontal="center" vertical="center"/>
      <protection hidden="1"/>
    </xf>
    <xf numFmtId="0" fontId="9" fillId="2" borderId="4" xfId="31" applyNumberFormat="1" applyFont="1" applyFill="1" applyBorder="1" applyAlignment="1" applyProtection="1">
      <alignment horizontal="center" vertical="center"/>
      <protection hidden="1"/>
    </xf>
    <xf numFmtId="0" fontId="8" fillId="2" borderId="4" xfId="32" applyFont="1" applyFill="1" applyBorder="1" applyAlignment="1">
      <alignment vertical="center" wrapText="1"/>
    </xf>
    <xf numFmtId="168" fontId="8" fillId="2" borderId="4" xfId="29" applyNumberFormat="1" applyFont="1" applyFill="1" applyBorder="1" applyAlignment="1" applyProtection="1">
      <alignment horizontal="center" vertical="center" wrapText="1"/>
      <protection hidden="1"/>
    </xf>
    <xf numFmtId="168" fontId="8" fillId="2" borderId="4" xfId="29" applyNumberFormat="1" applyFont="1" applyFill="1" applyBorder="1" applyAlignment="1" applyProtection="1">
      <alignment horizontal="center" vertical="center"/>
      <protection hidden="1"/>
    </xf>
    <xf numFmtId="0" fontId="10" fillId="2" borderId="4" xfId="31" applyNumberFormat="1" applyFont="1" applyFill="1" applyBorder="1" applyAlignment="1" applyProtection="1">
      <alignment horizontal="center" vertical="center"/>
      <protection hidden="1"/>
    </xf>
    <xf numFmtId="173" fontId="8" fillId="2" borderId="4" xfId="29" applyNumberFormat="1" applyFont="1" applyFill="1" applyBorder="1" applyAlignment="1" applyProtection="1">
      <alignment horizontal="center" vertical="center" wrapText="1"/>
      <protection hidden="1"/>
    </xf>
    <xf numFmtId="166" fontId="8" fillId="2" borderId="4" xfId="29" applyNumberFormat="1" applyFont="1" applyFill="1" applyBorder="1" applyAlignment="1" applyProtection="1">
      <alignment horizontal="center" vertical="center"/>
      <protection hidden="1"/>
    </xf>
    <xf numFmtId="0" fontId="10" fillId="8" borderId="4" xfId="29" applyNumberFormat="1" applyFont="1" applyFill="1" applyBorder="1" applyAlignment="1" applyProtection="1">
      <alignment vertical="top" wrapText="1"/>
      <protection hidden="1"/>
    </xf>
    <xf numFmtId="173" fontId="9" fillId="10" borderId="4" xfId="29" applyNumberFormat="1" applyFont="1" applyFill="1" applyBorder="1" applyAlignment="1" applyProtection="1">
      <alignment horizontal="center" vertical="center" wrapText="1"/>
      <protection hidden="1"/>
    </xf>
    <xf numFmtId="173" fontId="9" fillId="9" borderId="4" xfId="31" applyNumberFormat="1" applyFont="1" applyFill="1" applyBorder="1" applyAlignment="1" applyProtection="1">
      <alignment horizontal="center" vertical="center" wrapText="1"/>
      <protection hidden="1"/>
    </xf>
    <xf numFmtId="173" fontId="9" fillId="9" borderId="4" xfId="29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29" applyFont="1" applyFill="1" applyAlignment="1">
      <alignment vertical="center"/>
    </xf>
    <xf numFmtId="174" fontId="9" fillId="9" borderId="4" xfId="31" applyNumberFormat="1" applyFont="1" applyFill="1" applyBorder="1" applyAlignment="1" applyProtection="1">
      <alignment horizontal="left" vertical="center" wrapText="1"/>
      <protection hidden="1"/>
    </xf>
    <xf numFmtId="2" fontId="9" fillId="2" borderId="4" xfId="32" applyNumberFormat="1" applyFont="1" applyFill="1" applyBorder="1" applyAlignment="1">
      <alignment horizontal="center" vertical="center"/>
    </xf>
    <xf numFmtId="0" fontId="9" fillId="2" borderId="4" xfId="32" applyNumberFormat="1" applyFont="1" applyFill="1" applyBorder="1" applyAlignment="1" applyProtection="1">
      <alignment vertical="center" wrapText="1"/>
      <protection hidden="1"/>
    </xf>
    <xf numFmtId="0" fontId="9" fillId="2" borderId="4" xfId="32" applyFont="1" applyFill="1" applyBorder="1" applyAlignment="1">
      <alignment wrapText="1"/>
    </xf>
    <xf numFmtId="0" fontId="9" fillId="2" borderId="4" xfId="32" applyFont="1" applyFill="1" applyBorder="1" applyAlignment="1">
      <alignment vertical="center"/>
    </xf>
    <xf numFmtId="49" fontId="9" fillId="2" borderId="4" xfId="32" applyNumberFormat="1" applyFont="1" applyFill="1" applyBorder="1" applyAlignment="1">
      <alignment horizontal="center" vertical="center"/>
    </xf>
    <xf numFmtId="0" fontId="8" fillId="2" borderId="4" xfId="29" applyNumberFormat="1" applyFont="1" applyFill="1" applyBorder="1" applyAlignment="1" applyProtection="1">
      <alignment vertical="center" wrapText="1"/>
      <protection hidden="1"/>
    </xf>
    <xf numFmtId="173" fontId="8" fillId="2" borderId="4" xfId="29" quotePrefix="1" applyNumberFormat="1" applyFont="1" applyFill="1" applyBorder="1" applyAlignment="1" applyProtection="1">
      <alignment horizontal="center" vertical="center" wrapText="1"/>
      <protection hidden="1"/>
    </xf>
    <xf numFmtId="174" fontId="9" fillId="2" borderId="4" xfId="31" applyNumberFormat="1" applyFont="1" applyFill="1" applyBorder="1" applyAlignment="1" applyProtection="1">
      <alignment horizontal="left" vertical="center" wrapText="1"/>
      <protection hidden="1"/>
    </xf>
    <xf numFmtId="168" fontId="8" fillId="7" borderId="4" xfId="29" quotePrefix="1" applyNumberFormat="1" applyFont="1" applyFill="1" applyBorder="1" applyAlignment="1" applyProtection="1">
      <alignment horizontal="center" vertical="center" wrapText="1"/>
      <protection hidden="1"/>
    </xf>
    <xf numFmtId="168" fontId="8" fillId="2" borderId="4" xfId="29" quotePrefix="1" applyNumberFormat="1" applyFont="1" applyFill="1" applyBorder="1" applyAlignment="1" applyProtection="1">
      <alignment horizontal="center" vertical="center"/>
      <protection hidden="1"/>
    </xf>
    <xf numFmtId="0" fontId="9" fillId="2" borderId="0" xfId="29" applyFont="1" applyFill="1" applyBorder="1" applyAlignment="1">
      <alignment vertical="center"/>
    </xf>
    <xf numFmtId="0" fontId="8" fillId="2" borderId="4" xfId="29" applyFont="1" applyFill="1" applyBorder="1" applyAlignment="1">
      <alignment vertical="center"/>
    </xf>
    <xf numFmtId="0" fontId="8" fillId="2" borderId="4" xfId="29" applyFont="1" applyFill="1" applyBorder="1" applyAlignment="1">
      <alignment horizontal="center" vertical="center"/>
    </xf>
    <xf numFmtId="0" fontId="9" fillId="2" borderId="0" xfId="29" applyFont="1" applyFill="1" applyAlignment="1">
      <alignment horizontal="center" vertical="center"/>
    </xf>
    <xf numFmtId="0" fontId="9" fillId="2" borderId="0" xfId="29" applyFont="1" applyFill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7" fillId="0" borderId="0" xfId="28" applyFont="1" applyAlignment="1">
      <alignment horizontal="right" vertical="center"/>
    </xf>
    <xf numFmtId="0" fontId="8" fillId="5" borderId="1" xfId="24" applyFont="1" applyFill="1" applyBorder="1" applyAlignment="1">
      <alignment horizontal="center" vertical="center"/>
    </xf>
    <xf numFmtId="0" fontId="9" fillId="2" borderId="0" xfId="1" applyFont="1" applyFill="1" applyBorder="1" applyAlignment="1" applyProtection="1">
      <alignment horizontal="right" vertical="center"/>
      <protection hidden="1"/>
    </xf>
    <xf numFmtId="0" fontId="8" fillId="2" borderId="0" xfId="29" applyNumberFormat="1" applyFont="1" applyFill="1" applyBorder="1" applyAlignment="1" applyProtection="1">
      <alignment horizontal="center"/>
      <protection hidden="1"/>
    </xf>
  </cellXfs>
  <cellStyles count="34">
    <cellStyle name="Обычный" xfId="0" builtinId="0"/>
    <cellStyle name="Обычный 2" xfId="2"/>
    <cellStyle name="Обычный 2 10" xfId="3"/>
    <cellStyle name="Обычный 2 11" xfId="4"/>
    <cellStyle name="Обычный 2 12" xfId="5"/>
    <cellStyle name="Обычный 2 13" xfId="6"/>
    <cellStyle name="Обычный 2 14" xfId="7"/>
    <cellStyle name="Обычный 2 15" xfId="8"/>
    <cellStyle name="Обычный 2 16" xfId="9"/>
    <cellStyle name="Обычный 2 17" xfId="10"/>
    <cellStyle name="Обычный 2 18" xfId="11"/>
    <cellStyle name="Обычный 2 19" xfId="12"/>
    <cellStyle name="Обычный 2 2" xfId="13"/>
    <cellStyle name="Обычный 2 20" xfId="14"/>
    <cellStyle name="Обычный 2 21" xfId="15"/>
    <cellStyle name="Обычный 2 22" xfId="16"/>
    <cellStyle name="Обычный 2 22 2" xfId="28"/>
    <cellStyle name="Обычный 2 22 3" xfId="31"/>
    <cellStyle name="Обычный 2 3" xfId="17"/>
    <cellStyle name="Обычный 2 4" xfId="18"/>
    <cellStyle name="Обычный 2 5" xfId="19"/>
    <cellStyle name="Обычный 2 6" xfId="20"/>
    <cellStyle name="Обычный 2 7" xfId="21"/>
    <cellStyle name="Обычный 2 8" xfId="22"/>
    <cellStyle name="Обычный 2 9" xfId="23"/>
    <cellStyle name="Обычный 4" xfId="32"/>
    <cellStyle name="Обычный 5" xfId="24"/>
    <cellStyle name="Обычный 6" xfId="25"/>
    <cellStyle name="Обычный 7" xfId="26"/>
    <cellStyle name="Обычный_Tmp2" xfId="1"/>
    <cellStyle name="Обычный_Tmp6" xfId="33"/>
    <cellStyle name="Обычный_Tmp7 3" xfId="29"/>
    <cellStyle name="Процентный 2" xfId="27"/>
    <cellStyle name="Процентный 3" xfId="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eredekagr02\share\&#1047;&#1040;&#1050;&#1051;&#1070;&#1063;&#1045;&#1053;&#1048;&#1071;\&#1041;&#1102;&#1076;&#1078;&#1077;&#1090;%202015-2017\&#1055;&#1086;&#1089;&#1077;&#1083;&#1077;&#1085;&#1080;&#1103;\&#1058;&#1072;&#1083;&#1080;&#1085;&#1082;&#1072;\&#1087;&#1086;&#1089;&#1077;&#1083;&#1077;&#1085;&#1080;&#1102;\&#1055;&#1088;&#1080;&#1083;&#1086;&#1078;&#1077;&#1085;&#1080;&#1103;%201-22%20&#1085;&#1086;&#1074;&#1086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5;&#1088;&#1086;&#1077;&#1082;&#1090;%20&#1056;&#1057;&#1044;%20&#1085;&#1072;%202016%20&#1075;&#1086;&#1076;\&#1055;&#1088;&#1086;&#1077;&#1082;&#1090;%20&#1088;&#1077;&#1096;&#1077;&#1085;&#1080;&#1103;%20&#1086;%20&#1073;&#1102;&#1076;&#1078;&#1077;&#1090;&#1077;%20&#1085;&#1072;%202016%20&#1075;&#1086;&#1076;\&#1055;&#1088;&#1080;&#1083;&#1086;&#1078;&#1077;&#1085;&#1080;&#1103;%201-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traktinovasv1\share\&#1047;&#1040;&#1050;&#1051;&#1070;&#1063;&#1045;&#1053;&#1048;&#1071;\&#1041;&#1102;&#1076;&#1078;&#1077;&#1090;%202015-2017\&#1055;&#1086;&#1089;&#1077;&#1083;&#1077;&#1085;&#1080;&#1103;\&#1058;&#1072;&#1083;&#1080;&#1085;&#1082;&#1072;\&#1087;&#1086;&#1089;&#1077;&#1083;&#1077;&#1085;&#1080;&#1102;\&#1055;&#1088;&#1080;&#1083;&#1086;&#1078;&#1077;&#1085;&#1080;&#1103;%201-22%20&#1085;&#1086;&#1074;&#1086;&#107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traktinovasv1\share\&#1047;&#1040;&#1050;&#1051;&#1070;&#1063;&#1045;&#1053;&#1048;&#1071;\&#1048;&#1057;&#1055;&#1054;&#1051;&#1053;&#1045;&#1053;&#1048;&#1045;%20&#1073;&#1102;&#1076;&#1078;&#1077;&#1090;&#1072;\&#1080;&#1089;&#1087;&#1086;&#1083;&#1085;&#1077;&#1085;&#1080;&#1077;%20&#1073;&#1102;&#1076;&#1078;&#1077;&#1090;&#1072;%20&#1079;&#1072;%202022%20&#1075;&#1086;&#1076;\&#1058;&#1072;&#1083;&#1080;&#1085;&#1082;&#1072;\&#1044;&#1083;&#1103;%20&#1050;&#1057;&#1055;\&#1042;&#1089;&#1077;%20&#1080;&#1079;&#1084;&#1077;&#1085;.%202022%20!\&#1086;&#1090;%2027.12.2022%20&#8470;45\&#1055;&#1088;&#1080;&#1083;.3-7%20&#1056;&#1072;&#1089;&#1093;%20&#1056;&#1055;&#1088;,%20&#1062;&#105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2"/>
      <sheetName val="ПРИЛОЖЕНИЕ №3 (доходы)"/>
      <sheetName val="ПРИЛОЖЕНИЕ №4 (2016-2017)"/>
      <sheetName val="новое приложение 7"/>
      <sheetName val="новое приложение 9"/>
      <sheetName val="новое приложение 10."/>
      <sheetName val="приложение 11"/>
      <sheetName val="приложение 12"/>
      <sheetName val="приложение 13 "/>
      <sheetName val="приложение 14"/>
      <sheetName val="приложение 15"/>
      <sheetName val="приложение 16"/>
      <sheetName val="приложение 17"/>
      <sheetName val="приложение 18"/>
      <sheetName val="приложение 19"/>
      <sheetName val="приложение 20"/>
      <sheetName val="Приложение № 21"/>
      <sheetName val="Приложение № 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2 (доходы)"/>
      <sheetName val="новое приложение 5"/>
      <sheetName val="новое приложение 6"/>
      <sheetName val="приложение 7"/>
      <sheetName val="приложение 8"/>
      <sheetName val="приложение 9"/>
      <sheetName val="приложение 10"/>
      <sheetName val="приложение 1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2"/>
      <sheetName val="ПРИЛОЖЕНИЕ №3 (доходы)"/>
      <sheetName val="ПРИЛОЖЕНИЕ №4 (2016-2017)"/>
      <sheetName val="новое приложение 7"/>
      <sheetName val="новое приложение 9"/>
      <sheetName val="новое приложение 10."/>
      <sheetName val="приложение 11"/>
      <sheetName val="приложение 12"/>
      <sheetName val="приложение 13 "/>
      <sheetName val="приложение 14"/>
      <sheetName val="приложение 15"/>
      <sheetName val="приложение 16"/>
      <sheetName val="приложение 17"/>
      <sheetName val="приложение 18"/>
      <sheetName val="приложение 19"/>
      <sheetName val="приложение 20"/>
      <sheetName val="Приложение № 21"/>
      <sheetName val="Приложение № 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 (5) 2022г."/>
      <sheetName val="приложение №4 (7) 2022г."/>
      <sheetName val="приложение №5 (9) 2022г."/>
      <sheetName val="приложение №6 (11) 2022г."/>
      <sheetName val="приложение №7 (13) 2022г."/>
      <sheetName val="Лист1"/>
    </sheetNames>
    <sheetDataSet>
      <sheetData sheetId="0">
        <row r="25">
          <cell r="G25">
            <v>2320.0590000000002</v>
          </cell>
        </row>
        <row r="28">
          <cell r="G28">
            <v>3396.0680000000002</v>
          </cell>
        </row>
        <row r="34">
          <cell r="G34">
            <v>26213.476999999999</v>
          </cell>
        </row>
        <row r="40">
          <cell r="G40">
            <v>0</v>
          </cell>
        </row>
        <row r="46">
          <cell r="G46">
            <v>182.67500000000001</v>
          </cell>
        </row>
        <row r="51">
          <cell r="G51">
            <v>1212.8</v>
          </cell>
        </row>
        <row r="53">
          <cell r="G53">
            <v>138.69999999999999</v>
          </cell>
        </row>
        <row r="56">
          <cell r="G56">
            <v>2836.2860000000001</v>
          </cell>
        </row>
        <row r="58">
          <cell r="G58">
            <v>25</v>
          </cell>
        </row>
        <row r="61">
          <cell r="G61">
            <v>64.739000000000004</v>
          </cell>
        </row>
        <row r="68">
          <cell r="G68">
            <v>513.93899999999996</v>
          </cell>
        </row>
        <row r="70">
          <cell r="G70">
            <v>55.904000000000003</v>
          </cell>
        </row>
        <row r="74">
          <cell r="G74">
            <v>29.417000000000002</v>
          </cell>
        </row>
        <row r="81">
          <cell r="G81">
            <v>86.6</v>
          </cell>
        </row>
        <row r="84">
          <cell r="G84">
            <v>26.6</v>
          </cell>
        </row>
        <row r="90">
          <cell r="G90">
            <v>132.69999999999999</v>
          </cell>
        </row>
        <row r="93">
          <cell r="G93">
            <v>691.00199999999995</v>
          </cell>
        </row>
        <row r="99">
          <cell r="G99">
            <v>57.432000000000002</v>
          </cell>
        </row>
        <row r="101">
          <cell r="G101">
            <v>5.968</v>
          </cell>
        </row>
        <row r="104">
          <cell r="G104">
            <v>27.318000000000001</v>
          </cell>
        </row>
        <row r="111">
          <cell r="G111">
            <v>2211.7820000000002</v>
          </cell>
        </row>
        <row r="115">
          <cell r="G115">
            <v>1560.4</v>
          </cell>
        </row>
        <row r="119">
          <cell r="G119">
            <v>128.59200000000001</v>
          </cell>
        </row>
        <row r="125">
          <cell r="G125">
            <v>400</v>
          </cell>
        </row>
        <row r="131">
          <cell r="G131">
            <v>4403.0600000000004</v>
          </cell>
        </row>
        <row r="135">
          <cell r="G135">
            <v>1218</v>
          </cell>
        </row>
        <row r="138">
          <cell r="G138">
            <v>1540.6610000000001</v>
          </cell>
        </row>
        <row r="144">
          <cell r="G144">
            <v>1141.4190000000001</v>
          </cell>
        </row>
        <row r="150">
          <cell r="G150">
            <v>383</v>
          </cell>
        </row>
        <row r="157">
          <cell r="G157">
            <v>375</v>
          </cell>
        </row>
        <row r="160">
          <cell r="G160">
            <v>1044.9829999999999</v>
          </cell>
        </row>
        <row r="163">
          <cell r="G163">
            <v>96.456000000000003</v>
          </cell>
        </row>
        <row r="169">
          <cell r="G169">
            <v>12025.713</v>
          </cell>
        </row>
        <row r="172">
          <cell r="G172">
            <v>333.904</v>
          </cell>
        </row>
        <row r="175">
          <cell r="G175">
            <v>282.02</v>
          </cell>
        </row>
        <row r="178">
          <cell r="G178">
            <v>860</v>
          </cell>
        </row>
        <row r="181">
          <cell r="G181">
            <v>2191.0070000000001</v>
          </cell>
        </row>
        <row r="184">
          <cell r="G184">
            <v>2122.1840000000002</v>
          </cell>
        </row>
        <row r="188">
          <cell r="G188">
            <v>9000</v>
          </cell>
        </row>
        <row r="194">
          <cell r="G194">
            <v>1075.3050000000001</v>
          </cell>
        </row>
        <row r="197">
          <cell r="G197">
            <v>9396.5480000000007</v>
          </cell>
        </row>
        <row r="201">
          <cell r="G201">
            <v>9708.2950000000001</v>
          </cell>
        </row>
        <row r="208">
          <cell r="G208">
            <v>660</v>
          </cell>
        </row>
        <row r="215">
          <cell r="G215">
            <v>23425.955000000002</v>
          </cell>
        </row>
        <row r="218">
          <cell r="G218">
            <v>93.284999999999997</v>
          </cell>
        </row>
        <row r="221">
          <cell r="G221">
            <v>13</v>
          </cell>
        </row>
        <row r="224">
          <cell r="G224">
            <v>2.2949999999999999</v>
          </cell>
        </row>
        <row r="230">
          <cell r="G230">
            <v>317</v>
          </cell>
        </row>
        <row r="233">
          <cell r="G233">
            <v>25</v>
          </cell>
        </row>
        <row r="243">
          <cell r="G243">
            <v>125</v>
          </cell>
        </row>
        <row r="250">
          <cell r="G250">
            <v>13282.1</v>
          </cell>
        </row>
        <row r="253">
          <cell r="G253">
            <v>54.677999999999997</v>
          </cell>
        </row>
        <row r="256">
          <cell r="G256">
            <v>80.152000000000001</v>
          </cell>
        </row>
        <row r="260">
          <cell r="G260">
            <v>120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T129"/>
  <sheetViews>
    <sheetView zoomScale="120" zoomScaleNormal="120" workbookViewId="0">
      <pane xSplit="2" ySplit="5" topLeftCell="C24" activePane="bottomRight" state="frozen"/>
      <selection pane="topRight" activeCell="C1" sqref="C1"/>
      <selection pane="bottomLeft" activeCell="A6" sqref="A6"/>
      <selection pane="bottomRight" activeCell="BD35" sqref="BD35"/>
    </sheetView>
  </sheetViews>
  <sheetFormatPr defaultColWidth="9.109375" defaultRowHeight="27.75" customHeight="1" x14ac:dyDescent="0.3"/>
  <cols>
    <col min="1" max="1" width="13.6640625" style="4" customWidth="1"/>
    <col min="2" max="2" width="35.109375" style="4" customWidth="1"/>
    <col min="3" max="3" width="11.6640625" style="4" hidden="1" customWidth="1"/>
    <col min="4" max="4" width="9.5546875" style="4" hidden="1" customWidth="1"/>
    <col min="5" max="5" width="12" style="4" hidden="1" customWidth="1"/>
    <col min="6" max="6" width="12.5546875" style="4" hidden="1" customWidth="1"/>
    <col min="7" max="7" width="9.5546875" style="4" hidden="1" customWidth="1"/>
    <col min="8" max="8" width="12" style="4" hidden="1" customWidth="1"/>
    <col min="9" max="9" width="10.5546875" style="4" hidden="1" customWidth="1"/>
    <col min="10" max="12" width="12.5546875" style="4" hidden="1" customWidth="1"/>
    <col min="13" max="13" width="10.44140625" style="4" hidden="1" customWidth="1"/>
    <col min="14" max="14" width="12.5546875" style="4" hidden="1" customWidth="1"/>
    <col min="15" max="15" width="11.44140625" style="4" hidden="1" customWidth="1"/>
    <col min="16" max="16" width="12" style="4" hidden="1" customWidth="1"/>
    <col min="17" max="17" width="10.6640625" style="4" hidden="1" customWidth="1"/>
    <col min="18" max="18" width="11.109375" style="4" hidden="1" customWidth="1"/>
    <col min="19" max="19" width="9" style="4" hidden="1" customWidth="1"/>
    <col min="20" max="20" width="10.109375" style="4" hidden="1" customWidth="1"/>
    <col min="21" max="21" width="9.6640625" style="4" hidden="1" customWidth="1"/>
    <col min="22" max="22" width="10.33203125" style="4" hidden="1" customWidth="1"/>
    <col min="23" max="23" width="9" style="4" hidden="1" customWidth="1"/>
    <col min="24" max="24" width="9.88671875" style="4" hidden="1" customWidth="1"/>
    <col min="25" max="25" width="9.6640625" style="4" hidden="1" customWidth="1"/>
    <col min="26" max="26" width="1.6640625" style="4" hidden="1" customWidth="1"/>
    <col min="27" max="27" width="9" style="4" hidden="1" customWidth="1"/>
    <col min="28" max="28" width="9.88671875" style="4" hidden="1" customWidth="1"/>
    <col min="29" max="29" width="10" style="4" hidden="1" customWidth="1"/>
    <col min="30" max="30" width="10.33203125" style="4" hidden="1" customWidth="1"/>
    <col min="31" max="31" width="9" style="4" hidden="1" customWidth="1"/>
    <col min="32" max="33" width="9.88671875" style="4" hidden="1" customWidth="1"/>
    <col min="34" max="34" width="10.33203125" style="4" hidden="1" customWidth="1"/>
    <col min="35" max="37" width="9" style="4" hidden="1" customWidth="1"/>
    <col min="38" max="38" width="9.88671875" style="4" hidden="1" customWidth="1"/>
    <col min="39" max="39" width="9.109375" style="4" customWidth="1"/>
    <col min="40" max="45" width="9.6640625" style="4" hidden="1" customWidth="1"/>
    <col min="46" max="46" width="9.109375" style="4" customWidth="1"/>
    <col min="47" max="47" width="10.33203125" style="4" hidden="1" customWidth="1"/>
    <col min="48" max="48" width="8.5546875" style="4" customWidth="1"/>
    <col min="49" max="52" width="10" style="4" hidden="1" customWidth="1"/>
    <col min="53" max="54" width="10" style="7" hidden="1" customWidth="1"/>
    <col min="55" max="55" width="9.44140625" style="7" customWidth="1"/>
    <col min="56" max="56" width="8.88671875" style="62" customWidth="1"/>
    <col min="57" max="57" width="6.33203125" style="62" customWidth="1"/>
    <col min="58" max="58" width="9.109375" style="7" customWidth="1"/>
    <col min="59" max="59" width="10.33203125" style="7" hidden="1" customWidth="1"/>
    <col min="60" max="60" width="6.88671875" style="7" customWidth="1"/>
    <col min="61" max="61" width="5.88671875" style="7" customWidth="1"/>
    <col min="62" max="62" width="6" style="7" customWidth="1"/>
    <col min="63" max="67" width="10" style="4" hidden="1" customWidth="1"/>
    <col min="68" max="68" width="7.109375" style="4" hidden="1" customWidth="1"/>
    <col min="69" max="69" width="9" style="4" hidden="1" customWidth="1"/>
    <col min="70" max="70" width="6.5546875" style="4" hidden="1" customWidth="1"/>
    <col min="71" max="16384" width="9.109375" style="4"/>
  </cols>
  <sheetData>
    <row r="1" spans="1:70" ht="18.75" customHeight="1" x14ac:dyDescent="0.3">
      <c r="A1" s="1"/>
      <c r="B1" s="2"/>
      <c r="C1" s="2"/>
      <c r="D1" s="3"/>
      <c r="E1" s="3"/>
      <c r="G1" s="3"/>
      <c r="H1" s="3"/>
      <c r="I1" s="3"/>
      <c r="K1" s="3"/>
      <c r="L1" s="3"/>
      <c r="O1" s="3"/>
      <c r="P1" s="3"/>
      <c r="S1" s="3"/>
      <c r="T1" s="3"/>
      <c r="W1" s="3"/>
      <c r="X1" s="3"/>
      <c r="AA1" s="3"/>
      <c r="AB1" s="3"/>
      <c r="AE1" s="3"/>
      <c r="AF1" s="3"/>
      <c r="AI1" s="3"/>
      <c r="AJ1" s="3"/>
      <c r="AK1" s="3"/>
      <c r="AL1" s="3"/>
      <c r="AO1" s="3"/>
      <c r="AP1" s="3"/>
      <c r="AQ1" s="3"/>
      <c r="AR1" s="3"/>
      <c r="AV1" s="3"/>
      <c r="AW1" s="3"/>
      <c r="AX1" s="3"/>
      <c r="AY1" s="3"/>
      <c r="AZ1" s="3"/>
      <c r="BA1" s="5"/>
      <c r="BB1" s="6"/>
      <c r="BC1" s="4"/>
      <c r="BD1" s="6"/>
      <c r="BE1" s="6"/>
      <c r="BF1" s="5"/>
      <c r="BH1" s="6" t="s">
        <v>0</v>
      </c>
      <c r="BI1" s="6"/>
      <c r="BJ1" s="6"/>
      <c r="BK1" s="3"/>
      <c r="BL1" s="3"/>
      <c r="BM1" s="3"/>
      <c r="BN1" s="3"/>
      <c r="BO1" s="3"/>
      <c r="BP1" s="3"/>
      <c r="BQ1" s="3"/>
      <c r="BR1" s="3"/>
    </row>
    <row r="2" spans="1:70" s="8" customFormat="1" ht="18" customHeight="1" x14ac:dyDescent="0.3">
      <c r="B2" s="9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N2" s="9"/>
      <c r="AO2" s="9"/>
      <c r="AP2" s="9"/>
      <c r="AQ2" s="9"/>
      <c r="AR2" s="9"/>
      <c r="AS2" s="9"/>
      <c r="AT2" s="9"/>
      <c r="AU2" s="9"/>
      <c r="AV2" s="9"/>
      <c r="AW2" s="10"/>
      <c r="AX2" s="10"/>
      <c r="AY2" s="9"/>
      <c r="AZ2" s="9"/>
      <c r="BA2" s="9"/>
      <c r="BB2" s="11"/>
      <c r="BC2" s="11"/>
      <c r="BD2" s="12"/>
      <c r="BE2" s="12"/>
      <c r="BF2" s="11"/>
      <c r="BG2" s="11"/>
      <c r="BH2" s="11"/>
      <c r="BI2" s="11"/>
      <c r="BJ2" s="11"/>
      <c r="BK2" s="9"/>
      <c r="BL2" s="9"/>
      <c r="BM2" s="9"/>
      <c r="BN2" s="10"/>
      <c r="BO2" s="10"/>
      <c r="BP2" s="10"/>
      <c r="BQ2" s="10"/>
      <c r="BR2" s="10"/>
    </row>
    <row r="3" spans="1:70" s="8" customFormat="1" ht="12.75" customHeight="1" x14ac:dyDescent="0.3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0"/>
      <c r="AX3" s="10"/>
      <c r="AY3" s="13"/>
      <c r="AZ3" s="13"/>
      <c r="BA3" s="13"/>
      <c r="BB3" s="14"/>
      <c r="BC3" s="14"/>
      <c r="BD3" s="15"/>
      <c r="BE3" s="15"/>
      <c r="BF3" s="14"/>
      <c r="BG3" s="14"/>
      <c r="BH3" s="16"/>
      <c r="BI3" s="16"/>
      <c r="BJ3" s="16"/>
      <c r="BK3" s="17"/>
      <c r="BL3" s="17"/>
      <c r="BM3" s="17"/>
      <c r="BN3" s="10"/>
      <c r="BO3" s="10"/>
      <c r="BP3" s="10"/>
      <c r="BQ3" s="10"/>
      <c r="BR3" s="10"/>
    </row>
    <row r="4" spans="1:70" ht="36" customHeight="1" x14ac:dyDescent="0.3">
      <c r="A4" s="265" t="s">
        <v>2</v>
      </c>
      <c r="B4" s="265" t="s">
        <v>3</v>
      </c>
      <c r="C4" s="253" t="s">
        <v>4</v>
      </c>
      <c r="D4" s="18" t="s">
        <v>5</v>
      </c>
      <c r="E4" s="19" t="s">
        <v>6</v>
      </c>
      <c r="F4" s="253" t="s">
        <v>7</v>
      </c>
      <c r="G4" s="18" t="s">
        <v>8</v>
      </c>
      <c r="H4" s="19" t="s">
        <v>9</v>
      </c>
      <c r="I4" s="253" t="s">
        <v>10</v>
      </c>
      <c r="J4" s="253" t="s">
        <v>11</v>
      </c>
      <c r="K4" s="18" t="s">
        <v>12</v>
      </c>
      <c r="L4" s="19" t="s">
        <v>13</v>
      </c>
      <c r="M4" s="253" t="s">
        <v>14</v>
      </c>
      <c r="N4" s="253" t="s">
        <v>15</v>
      </c>
      <c r="O4" s="18" t="s">
        <v>16</v>
      </c>
      <c r="P4" s="19" t="s">
        <v>17</v>
      </c>
      <c r="Q4" s="253" t="s">
        <v>18</v>
      </c>
      <c r="R4" s="253" t="s">
        <v>19</v>
      </c>
      <c r="S4" s="18" t="s">
        <v>20</v>
      </c>
      <c r="T4" s="19" t="s">
        <v>21</v>
      </c>
      <c r="U4" s="253" t="s">
        <v>22</v>
      </c>
      <c r="V4" s="253" t="s">
        <v>23</v>
      </c>
      <c r="W4" s="18" t="s">
        <v>24</v>
      </c>
      <c r="X4" s="19" t="s">
        <v>25</v>
      </c>
      <c r="Y4" s="253" t="s">
        <v>26</v>
      </c>
      <c r="Z4" s="253" t="s">
        <v>27</v>
      </c>
      <c r="AA4" s="18" t="s">
        <v>28</v>
      </c>
      <c r="AB4" s="19" t="s">
        <v>29</v>
      </c>
      <c r="AC4" s="253" t="s">
        <v>30</v>
      </c>
      <c r="AD4" s="253" t="s">
        <v>31</v>
      </c>
      <c r="AE4" s="18" t="s">
        <v>32</v>
      </c>
      <c r="AF4" s="19" t="s">
        <v>33</v>
      </c>
      <c r="AG4" s="253" t="s">
        <v>34</v>
      </c>
      <c r="AH4" s="253" t="s">
        <v>35</v>
      </c>
      <c r="AI4" s="261" t="s">
        <v>36</v>
      </c>
      <c r="AJ4" s="262"/>
      <c r="AK4" s="263"/>
      <c r="AL4" s="19" t="s">
        <v>37</v>
      </c>
      <c r="AM4" s="253" t="s">
        <v>38</v>
      </c>
      <c r="AN4" s="253" t="s">
        <v>39</v>
      </c>
      <c r="AO4" s="264" t="s">
        <v>40</v>
      </c>
      <c r="AP4" s="264"/>
      <c r="AQ4" s="264"/>
      <c r="AR4" s="19" t="s">
        <v>41</v>
      </c>
      <c r="AS4" s="253" t="s">
        <v>42</v>
      </c>
      <c r="AT4" s="253" t="s">
        <v>43</v>
      </c>
      <c r="AU4" s="253" t="s">
        <v>44</v>
      </c>
      <c r="AV4" s="255" t="s">
        <v>45</v>
      </c>
      <c r="AW4" s="256"/>
      <c r="AX4" s="257"/>
      <c r="AY4" s="20" t="s">
        <v>46</v>
      </c>
      <c r="AZ4" s="20" t="s">
        <v>47</v>
      </c>
      <c r="BA4" s="21" t="s">
        <v>48</v>
      </c>
      <c r="BB4" s="21" t="s">
        <v>49</v>
      </c>
      <c r="BC4" s="22" t="s">
        <v>50</v>
      </c>
      <c r="BD4" s="258" t="s">
        <v>51</v>
      </c>
      <c r="BE4" s="258" t="s">
        <v>52</v>
      </c>
      <c r="BF4" s="247" t="s">
        <v>53</v>
      </c>
      <c r="BG4" s="259" t="s">
        <v>54</v>
      </c>
      <c r="BH4" s="247" t="s">
        <v>55</v>
      </c>
      <c r="BI4" s="247" t="s">
        <v>56</v>
      </c>
      <c r="BJ4" s="247" t="s">
        <v>56</v>
      </c>
      <c r="BK4" s="249" t="s">
        <v>57</v>
      </c>
      <c r="BL4" s="250"/>
      <c r="BM4" s="250"/>
      <c r="BN4" s="250"/>
      <c r="BO4" s="250"/>
      <c r="BP4" s="250"/>
      <c r="BQ4" s="250"/>
      <c r="BR4" s="251"/>
    </row>
    <row r="5" spans="1:70" ht="12" customHeight="1" x14ac:dyDescent="0.3">
      <c r="A5" s="266"/>
      <c r="B5" s="266"/>
      <c r="C5" s="254"/>
      <c r="D5" s="19" t="s">
        <v>58</v>
      </c>
      <c r="E5" s="19" t="s">
        <v>59</v>
      </c>
      <c r="F5" s="254"/>
      <c r="G5" s="19" t="s">
        <v>58</v>
      </c>
      <c r="H5" s="19" t="s">
        <v>59</v>
      </c>
      <c r="I5" s="254"/>
      <c r="J5" s="254"/>
      <c r="K5" s="19" t="s">
        <v>58</v>
      </c>
      <c r="L5" s="19" t="s">
        <v>59</v>
      </c>
      <c r="M5" s="254"/>
      <c r="N5" s="254"/>
      <c r="O5" s="19" t="s">
        <v>58</v>
      </c>
      <c r="P5" s="19" t="s">
        <v>59</v>
      </c>
      <c r="Q5" s="254"/>
      <c r="R5" s="254"/>
      <c r="S5" s="19" t="s">
        <v>58</v>
      </c>
      <c r="T5" s="19" t="s">
        <v>59</v>
      </c>
      <c r="U5" s="254"/>
      <c r="V5" s="254"/>
      <c r="W5" s="19" t="s">
        <v>58</v>
      </c>
      <c r="X5" s="19" t="s">
        <v>59</v>
      </c>
      <c r="Y5" s="254"/>
      <c r="Z5" s="254"/>
      <c r="AA5" s="19" t="s">
        <v>58</v>
      </c>
      <c r="AB5" s="19" t="s">
        <v>59</v>
      </c>
      <c r="AC5" s="254"/>
      <c r="AD5" s="254"/>
      <c r="AE5" s="19" t="s">
        <v>58</v>
      </c>
      <c r="AF5" s="19" t="s">
        <v>59</v>
      </c>
      <c r="AG5" s="254"/>
      <c r="AH5" s="254"/>
      <c r="AI5" s="19" t="s">
        <v>60</v>
      </c>
      <c r="AJ5" s="19" t="s">
        <v>61</v>
      </c>
      <c r="AK5" s="19" t="s">
        <v>62</v>
      </c>
      <c r="AL5" s="19" t="s">
        <v>63</v>
      </c>
      <c r="AM5" s="254"/>
      <c r="AN5" s="254"/>
      <c r="AO5" s="23" t="s">
        <v>64</v>
      </c>
      <c r="AP5" s="23" t="s">
        <v>65</v>
      </c>
      <c r="AQ5" s="23" t="s">
        <v>66</v>
      </c>
      <c r="AR5" s="19" t="s">
        <v>67</v>
      </c>
      <c r="AS5" s="254"/>
      <c r="AT5" s="254"/>
      <c r="AU5" s="254"/>
      <c r="AV5" s="23" t="s">
        <v>65</v>
      </c>
      <c r="AW5" s="23" t="s">
        <v>66</v>
      </c>
      <c r="AX5" s="23" t="s">
        <v>68</v>
      </c>
      <c r="AY5" s="23" t="s">
        <v>65</v>
      </c>
      <c r="AZ5" s="19" t="s">
        <v>65</v>
      </c>
      <c r="BA5" s="24" t="s">
        <v>65</v>
      </c>
      <c r="BB5" s="24" t="s">
        <v>65</v>
      </c>
      <c r="BC5" s="24" t="s">
        <v>65</v>
      </c>
      <c r="BD5" s="258"/>
      <c r="BE5" s="258"/>
      <c r="BF5" s="248"/>
      <c r="BG5" s="260"/>
      <c r="BH5" s="248"/>
      <c r="BI5" s="248"/>
      <c r="BJ5" s="248"/>
      <c r="BK5" s="25" t="s">
        <v>66</v>
      </c>
      <c r="BL5" s="25" t="s">
        <v>69</v>
      </c>
      <c r="BM5" s="25" t="s">
        <v>56</v>
      </c>
      <c r="BN5" s="25" t="s">
        <v>68</v>
      </c>
      <c r="BO5" s="25" t="s">
        <v>69</v>
      </c>
      <c r="BP5" s="25" t="s">
        <v>56</v>
      </c>
      <c r="BQ5" s="25" t="s">
        <v>70</v>
      </c>
      <c r="BR5" s="25" t="s">
        <v>71</v>
      </c>
    </row>
    <row r="6" spans="1:70" ht="26.25" customHeight="1" x14ac:dyDescent="0.3">
      <c r="A6" s="26" t="s">
        <v>72</v>
      </c>
      <c r="B6" s="27" t="s">
        <v>73</v>
      </c>
      <c r="C6" s="28">
        <f t="shared" ref="C6:V6" si="0">C9+C20+C36+C31+C48+C44+C53+C62+C19</f>
        <v>24545.579963999997</v>
      </c>
      <c r="D6" s="28">
        <f t="shared" si="0"/>
        <v>19332</v>
      </c>
      <c r="E6" s="28">
        <f t="shared" si="0"/>
        <v>24376.7</v>
      </c>
      <c r="F6" s="28">
        <f t="shared" si="0"/>
        <v>26614.934429999998</v>
      </c>
      <c r="G6" s="28">
        <f t="shared" si="0"/>
        <v>22061</v>
      </c>
      <c r="H6" s="28">
        <f t="shared" si="0"/>
        <v>24216.7</v>
      </c>
      <c r="I6" s="28">
        <f t="shared" si="0"/>
        <v>3879.9107800000002</v>
      </c>
      <c r="J6" s="28">
        <f t="shared" si="0"/>
        <v>23791.571949999998</v>
      </c>
      <c r="K6" s="28">
        <f t="shared" si="0"/>
        <v>23743.5</v>
      </c>
      <c r="L6" s="28">
        <f t="shared" si="0"/>
        <v>28575.500000000004</v>
      </c>
      <c r="M6" s="28">
        <f t="shared" si="0"/>
        <v>28832.906169999998</v>
      </c>
      <c r="N6" s="28">
        <f t="shared" si="0"/>
        <v>6706.1088499999987</v>
      </c>
      <c r="O6" s="28">
        <f t="shared" si="0"/>
        <v>23357.5</v>
      </c>
      <c r="P6" s="28">
        <f t="shared" si="0"/>
        <v>23545.63</v>
      </c>
      <c r="Q6" s="28">
        <f t="shared" si="0"/>
        <v>24718.58827</v>
      </c>
      <c r="R6" s="28">
        <f t="shared" si="0"/>
        <v>-10642.725930000001</v>
      </c>
      <c r="S6" s="28">
        <f t="shared" si="0"/>
        <v>23720.799999999999</v>
      </c>
      <c r="T6" s="28">
        <f t="shared" si="0"/>
        <v>27586.499999999996</v>
      </c>
      <c r="U6" s="28">
        <f t="shared" si="0"/>
        <v>29419.265200000002</v>
      </c>
      <c r="V6" s="28">
        <f t="shared" si="0"/>
        <v>28343.109200000003</v>
      </c>
      <c r="W6" s="28">
        <f t="shared" ref="W6:AL6" si="1">W9+W20+W36+W31+W48+W44+W53+W62+W19+W14</f>
        <v>30672.1</v>
      </c>
      <c r="X6" s="28">
        <f t="shared" si="1"/>
        <v>35930.300000000003</v>
      </c>
      <c r="Y6" s="28">
        <f t="shared" si="1"/>
        <v>39332.990379999996</v>
      </c>
      <c r="Z6" s="28">
        <f t="shared" si="1"/>
        <v>-3382.7838099999926</v>
      </c>
      <c r="AA6" s="28">
        <f>AA9+AA20+AA36+AA31+AA48+AA44+AA53+AA62+AA19+AA14</f>
        <v>33870.6</v>
      </c>
      <c r="AB6" s="28">
        <f>AB9+AB20+AB36+AB31+AB48+AB44+AB53+AB62+AB19+AB14</f>
        <v>39585.599999999999</v>
      </c>
      <c r="AC6" s="28">
        <f>AC9+AC20+AC36+AC31+AC48+AC44+AC53+AC62+AC19+AC14</f>
        <v>42493.819530000001</v>
      </c>
      <c r="AD6" s="28">
        <f>AD9+AD20+AD36+AD31+AD48+AD44+AD53+AD62+AD19+AD14</f>
        <v>40746.209129999996</v>
      </c>
      <c r="AE6" s="28">
        <f t="shared" si="1"/>
        <v>36893.699999999997</v>
      </c>
      <c r="AF6" s="28">
        <f t="shared" si="1"/>
        <v>43878.6</v>
      </c>
      <c r="AG6" s="28">
        <f t="shared" si="1"/>
        <v>45091.209029999998</v>
      </c>
      <c r="AH6" s="28">
        <f t="shared" si="1"/>
        <v>39485.560980000002</v>
      </c>
      <c r="AI6" s="28">
        <f t="shared" si="1"/>
        <v>43172.200000000004</v>
      </c>
      <c r="AJ6" s="28">
        <f t="shared" si="1"/>
        <v>44130.5</v>
      </c>
      <c r="AK6" s="28">
        <f t="shared" si="1"/>
        <v>44483.4</v>
      </c>
      <c r="AL6" s="28">
        <f t="shared" si="1"/>
        <v>40312.799999999996</v>
      </c>
      <c r="AM6" s="28">
        <f>AM9+AM20+AM36+AM31+AM48+AM44+AM53+AM62+AM19+AM14</f>
        <v>40705.617189999997</v>
      </c>
      <c r="AN6" s="28">
        <f>AN9+AN20+AN36+AN31+AN48+AN44+AN53+AN62+AN19+AN14</f>
        <v>77083.867539999992</v>
      </c>
      <c r="AO6" s="28">
        <f t="shared" ref="AO6:AR6" si="2">AO9+AO20+AO36+AO31+AO48+AO44+AO53+AO62+AO19+AO14</f>
        <v>37868.300000000003</v>
      </c>
      <c r="AP6" s="28">
        <f t="shared" si="2"/>
        <v>38148.5</v>
      </c>
      <c r="AQ6" s="28">
        <f t="shared" si="2"/>
        <v>38722.400000000001</v>
      </c>
      <c r="AR6" s="28">
        <f t="shared" si="2"/>
        <v>46141.8</v>
      </c>
      <c r="AS6" s="28">
        <f>AS9+AS20+AS36+AS31+AS48+AS44+AS53+AS62+AS19+AS14</f>
        <v>48773</v>
      </c>
      <c r="AT6" s="28">
        <f>AT9+AT20+AT36+AT31+AT48+AT44+AT53+AT62+AT19+AT14</f>
        <v>46586.956910000001</v>
      </c>
      <c r="AU6" s="28">
        <f>AU9+AU20+AU36+AU31+AU48+AU44+AU53+AU62+AU19+AU14</f>
        <v>7972.6353700000018</v>
      </c>
      <c r="AV6" s="28">
        <f t="shared" ref="AV6:BF6" si="3">AV9+AV20+AV36+AV31+AV48+AV44+AV53+AV62+AV19+AV14</f>
        <v>37495.899999999994</v>
      </c>
      <c r="AW6" s="28">
        <f>AW9+AW20+AW36+AW31+AW48+AW44+AW53+AW62+AW19+AW14</f>
        <v>38237.5</v>
      </c>
      <c r="AX6" s="28">
        <f>AX9+AX20+AX36+AX31+AX48+AX44+AX53+AX62+AX19+AX14</f>
        <v>38725.799999999996</v>
      </c>
      <c r="AY6" s="28">
        <f t="shared" si="3"/>
        <v>37877.699999999997</v>
      </c>
      <c r="AZ6" s="28">
        <f t="shared" si="3"/>
        <v>39142.099999999991</v>
      </c>
      <c r="BA6" s="29">
        <f t="shared" si="3"/>
        <v>39742.099999999991</v>
      </c>
      <c r="BB6" s="29">
        <f t="shared" si="3"/>
        <v>41124.099999999991</v>
      </c>
      <c r="BC6" s="29">
        <f t="shared" si="3"/>
        <v>42088.2</v>
      </c>
      <c r="BD6" s="30">
        <f>BC6-AV6</f>
        <v>4592.3000000000029</v>
      </c>
      <c r="BE6" s="30">
        <f>BC6/AV6*100</f>
        <v>112.24747239031467</v>
      </c>
      <c r="BF6" s="29">
        <f t="shared" si="3"/>
        <v>44087.273920000007</v>
      </c>
      <c r="BG6" s="29">
        <f>BG9+BG20+BG36+BG31+BG48+BG44+BG53+BG62+BG19+BG14</f>
        <v>-31549.386579999991</v>
      </c>
      <c r="BH6" s="30">
        <f>BF6/AT6*100</f>
        <v>94.634371601413974</v>
      </c>
      <c r="BI6" s="30">
        <f>BF6/AV6*100</f>
        <v>117.57891908181965</v>
      </c>
      <c r="BJ6" s="30">
        <f>BF6/BC6*100</f>
        <v>104.74972538621279</v>
      </c>
      <c r="BK6" s="28">
        <f t="shared" ref="BK6" si="4">BK9+BK20+BK36+BK31+BK48+BK44+BK53+BK62+BK19+BK14</f>
        <v>31975</v>
      </c>
      <c r="BL6" s="31">
        <f>BK6/BF6*100</f>
        <v>72.526598169851169</v>
      </c>
      <c r="BM6" s="31">
        <f>BK6/AW6*100</f>
        <v>83.622098725073556</v>
      </c>
      <c r="BN6" s="28">
        <f>BN9+BN20+BN36+BN31+BN48+BN44+BN53+BN62+BN19+BN14</f>
        <v>32638.699999999997</v>
      </c>
      <c r="BO6" s="31">
        <f>BN6/BK6*100</f>
        <v>102.07568412822516</v>
      </c>
      <c r="BP6" s="31">
        <f>BN6/AX6*100</f>
        <v>84.2815384059206</v>
      </c>
      <c r="BQ6" s="28">
        <f>BQ9+BQ20+BQ36+BQ31+BQ48+BQ44+BQ53+BQ62+BQ19+BQ14</f>
        <v>33348.1</v>
      </c>
      <c r="BR6" s="31">
        <f>BQ6/BN6*100</f>
        <v>102.173493429579</v>
      </c>
    </row>
    <row r="7" spans="1:70" s="33" customFormat="1" ht="15.75" customHeight="1" x14ac:dyDescent="0.3">
      <c r="A7" s="26"/>
      <c r="B7" s="32" t="s">
        <v>74</v>
      </c>
      <c r="C7" s="28">
        <f t="shared" ref="C7:V7" si="5">C9+C20+C31+C19</f>
        <v>18225.801783999999</v>
      </c>
      <c r="D7" s="28">
        <f t="shared" si="5"/>
        <v>13976</v>
      </c>
      <c r="E7" s="28">
        <f t="shared" si="5"/>
        <v>16110.900000000001</v>
      </c>
      <c r="F7" s="28">
        <f t="shared" si="5"/>
        <v>17410.046760000001</v>
      </c>
      <c r="G7" s="28">
        <f t="shared" si="5"/>
        <v>15432</v>
      </c>
      <c r="H7" s="28">
        <f t="shared" si="5"/>
        <v>16087.3</v>
      </c>
      <c r="I7" s="28">
        <f t="shared" si="5"/>
        <v>2978.34728</v>
      </c>
      <c r="J7" s="28">
        <f t="shared" si="5"/>
        <v>16140.682769999998</v>
      </c>
      <c r="K7" s="28">
        <f t="shared" si="5"/>
        <v>17542</v>
      </c>
      <c r="L7" s="28">
        <f t="shared" si="5"/>
        <v>16368.800000000001</v>
      </c>
      <c r="M7" s="28">
        <f t="shared" si="5"/>
        <v>16554.85844</v>
      </c>
      <c r="N7" s="28">
        <f t="shared" si="5"/>
        <v>16554.85844</v>
      </c>
      <c r="O7" s="28">
        <f t="shared" si="5"/>
        <v>16928</v>
      </c>
      <c r="P7" s="28">
        <f t="shared" si="5"/>
        <v>16449.61</v>
      </c>
      <c r="Q7" s="28">
        <f t="shared" si="5"/>
        <v>16596.921610000001</v>
      </c>
      <c r="R7" s="28">
        <f t="shared" si="5"/>
        <v>16596.921610000001</v>
      </c>
      <c r="S7" s="28">
        <f t="shared" si="5"/>
        <v>17104.3</v>
      </c>
      <c r="T7" s="28">
        <f t="shared" si="5"/>
        <v>20519.3</v>
      </c>
      <c r="U7" s="28">
        <f t="shared" si="5"/>
        <v>22195.406650000001</v>
      </c>
      <c r="V7" s="28">
        <f t="shared" si="5"/>
        <v>22195.406650000001</v>
      </c>
      <c r="W7" s="28">
        <f t="shared" ref="W7:AL7" si="6">W9+W20+W31+W19+W14</f>
        <v>23953</v>
      </c>
      <c r="X7" s="28">
        <f t="shared" si="6"/>
        <v>27720.400000000005</v>
      </c>
      <c r="Y7" s="28">
        <f t="shared" si="6"/>
        <v>30017.674749999998</v>
      </c>
      <c r="Z7" s="28">
        <f t="shared" si="6"/>
        <v>30017.674749999998</v>
      </c>
      <c r="AA7" s="28">
        <f>AA9+AA20+AA31+AA19+AA14</f>
        <v>27126.6</v>
      </c>
      <c r="AB7" s="28">
        <f>AB9+AB20+AB31+AB19+AB14</f>
        <v>30100.300000000003</v>
      </c>
      <c r="AC7" s="28">
        <f>AC9+AC20+AC31+AC19+AC14</f>
        <v>32368.640060000002</v>
      </c>
      <c r="AD7" s="28">
        <f>AD9+AD20+AD31+AD19+AD14</f>
        <v>35164.170310000001</v>
      </c>
      <c r="AE7" s="28">
        <f t="shared" si="6"/>
        <v>29318.7</v>
      </c>
      <c r="AF7" s="28">
        <f t="shared" si="6"/>
        <v>35849.5</v>
      </c>
      <c r="AG7" s="28">
        <f t="shared" si="6"/>
        <v>36539.230329999999</v>
      </c>
      <c r="AH7" s="28">
        <f t="shared" si="6"/>
        <v>36969.990720000002</v>
      </c>
      <c r="AI7" s="28">
        <f t="shared" si="6"/>
        <v>36070.200000000004</v>
      </c>
      <c r="AJ7" s="28">
        <f t="shared" si="6"/>
        <v>37091.5</v>
      </c>
      <c r="AK7" s="28">
        <f t="shared" si="6"/>
        <v>37431.5</v>
      </c>
      <c r="AL7" s="28">
        <f t="shared" si="6"/>
        <v>32408</v>
      </c>
      <c r="AM7" s="28">
        <f>AM9+AM20+AM31+AM19+AM14</f>
        <v>32739.19154</v>
      </c>
      <c r="AN7" s="28">
        <f>AN9+AN20+AN31+AN19+AN14</f>
        <v>32624.729699999996</v>
      </c>
      <c r="AO7" s="28">
        <f t="shared" ref="AO7:AR7" si="7">AO9+AO20+AO31+AO19+AO14</f>
        <v>31710.5</v>
      </c>
      <c r="AP7" s="28">
        <f t="shared" si="7"/>
        <v>31940.5</v>
      </c>
      <c r="AQ7" s="28">
        <f t="shared" si="7"/>
        <v>32370.5</v>
      </c>
      <c r="AR7" s="28">
        <f t="shared" si="7"/>
        <v>35231.800000000003</v>
      </c>
      <c r="AS7" s="28">
        <f>AS9+AS20+AS31+AS19+AS14</f>
        <v>35373.100000000006</v>
      </c>
      <c r="AT7" s="28">
        <f>AT9+AT20+AT31+AT19+AT14</f>
        <v>32241.344089999999</v>
      </c>
      <c r="AU7" s="28">
        <f>AU9+AU20+AU31+AU19+AU14</f>
        <v>31841.830089999999</v>
      </c>
      <c r="AV7" s="28">
        <f t="shared" ref="AV7:BF7" si="8">AV9+AV20+AV31+AV19+AV14</f>
        <v>32304.7</v>
      </c>
      <c r="AW7" s="28">
        <f>AW9+AW20+AW31+AW19+AW14</f>
        <v>32938.199999999997</v>
      </c>
      <c r="AX7" s="28">
        <f>AX9+AX20+AX31+AX19+AX14</f>
        <v>33338.199999999997</v>
      </c>
      <c r="AY7" s="28">
        <f t="shared" si="8"/>
        <v>32686.5</v>
      </c>
      <c r="AZ7" s="28">
        <f t="shared" si="8"/>
        <v>32686.5</v>
      </c>
      <c r="BA7" s="29">
        <f t="shared" si="8"/>
        <v>32186.5</v>
      </c>
      <c r="BB7" s="29">
        <f t="shared" si="8"/>
        <v>32186.5</v>
      </c>
      <c r="BC7" s="29">
        <f t="shared" si="8"/>
        <v>32506</v>
      </c>
      <c r="BD7" s="30">
        <f t="shared" ref="BD7:BD70" si="9">BC7-AV7</f>
        <v>201.29999999999927</v>
      </c>
      <c r="BE7" s="30">
        <f t="shared" ref="BE7:BE70" si="10">BC7/AV7*100</f>
        <v>100.62312914219913</v>
      </c>
      <c r="BF7" s="29">
        <f t="shared" si="8"/>
        <v>33988.349679999999</v>
      </c>
      <c r="BG7" s="29">
        <f>BG9+BG20+BG31+BG19+BG14</f>
        <v>34968.443100000004</v>
      </c>
      <c r="BH7" s="30">
        <f t="shared" ref="BH7:BH70" si="11">BF7/AT7*100</f>
        <v>105.41852593093925</v>
      </c>
      <c r="BI7" s="30">
        <f t="shared" ref="BI7:BI70" si="12">BF7/AV7*100</f>
        <v>105.21177933861017</v>
      </c>
      <c r="BJ7" s="30">
        <f t="shared" ref="BJ7:BJ70" si="13">BF7/BC7*100</f>
        <v>104.56023404909863</v>
      </c>
      <c r="BK7" s="28">
        <f t="shared" ref="BK7" si="14">BK9+BK20+BK31+BK19+BK14</f>
        <v>25872.5</v>
      </c>
      <c r="BL7" s="31">
        <f t="shared" ref="BL7:BL70" si="15">BK7/BF7*100</f>
        <v>76.121671818694793</v>
      </c>
      <c r="BM7" s="31">
        <f t="shared" ref="BM7:BM70" si="16">BK7/AW7*100</f>
        <v>78.54861528559546</v>
      </c>
      <c r="BN7" s="28">
        <f>BN9+BN20+BN31+BN19+BN14</f>
        <v>26422.799999999999</v>
      </c>
      <c r="BO7" s="31">
        <f t="shared" ref="BO7:BO70" si="17">BN7/BK7*100</f>
        <v>102.126968789255</v>
      </c>
      <c r="BP7" s="31">
        <f t="shared" ref="BP7:BP70" si="18">BN7/AX7*100</f>
        <v>79.256828503038562</v>
      </c>
      <c r="BQ7" s="28">
        <f>BQ9+BQ20+BQ31+BQ19+BQ14</f>
        <v>27037.8</v>
      </c>
      <c r="BR7" s="31">
        <f t="shared" ref="BR7:BR70" si="19">BQ7/BN7*100</f>
        <v>102.32753531041374</v>
      </c>
    </row>
    <row r="8" spans="1:70" s="33" customFormat="1" ht="27.75" customHeight="1" x14ac:dyDescent="0.3">
      <c r="A8" s="26"/>
      <c r="B8" s="32" t="s">
        <v>75</v>
      </c>
      <c r="C8" s="28">
        <f t="shared" ref="C8:H8" si="20">C7/C118*100</f>
        <v>17.427378712164352</v>
      </c>
      <c r="D8" s="28">
        <f t="shared" si="20"/>
        <v>20.186992562762967</v>
      </c>
      <c r="E8" s="28">
        <f t="shared" si="20"/>
        <v>12.552239643227781</v>
      </c>
      <c r="F8" s="28">
        <f t="shared" si="20"/>
        <v>13.363384478555004</v>
      </c>
      <c r="G8" s="28">
        <f t="shared" si="20"/>
        <v>18.016040720548233</v>
      </c>
      <c r="H8" s="28">
        <f t="shared" si="20"/>
        <v>13.586982685302567</v>
      </c>
      <c r="I8" s="28"/>
      <c r="J8" s="28">
        <f t="shared" ref="J8:BC8" si="21">J7/J118*100</f>
        <v>13.683753785630607</v>
      </c>
      <c r="K8" s="28">
        <f t="shared" si="21"/>
        <v>22.356293713423462</v>
      </c>
      <c r="L8" s="28">
        <f t="shared" si="21"/>
        <v>16.598590892313183</v>
      </c>
      <c r="M8" s="28">
        <f t="shared" si="21"/>
        <v>16.745012538461069</v>
      </c>
      <c r="N8" s="28">
        <f t="shared" si="21"/>
        <v>7.720381981582257</v>
      </c>
      <c r="O8" s="28">
        <f t="shared" si="21"/>
        <v>19.585542703957255</v>
      </c>
      <c r="P8" s="28">
        <f t="shared" si="21"/>
        <v>14.180780464487192</v>
      </c>
      <c r="Q8" s="28">
        <f t="shared" si="21"/>
        <v>14.164574051482493</v>
      </c>
      <c r="R8" s="28">
        <f t="shared" si="21"/>
        <v>8.9366686892903644</v>
      </c>
      <c r="S8" s="28">
        <f t="shared" si="21"/>
        <v>18.437675841506032</v>
      </c>
      <c r="T8" s="28">
        <f t="shared" si="21"/>
        <v>17.504126661861115</v>
      </c>
      <c r="U8" s="28">
        <f t="shared" si="21"/>
        <v>18.684267301801789</v>
      </c>
      <c r="V8" s="28">
        <f t="shared" si="21"/>
        <v>11.28291867105451</v>
      </c>
      <c r="W8" s="28">
        <f t="shared" si="21"/>
        <v>27.710133929036239</v>
      </c>
      <c r="X8" s="28">
        <f t="shared" si="21"/>
        <v>21.791893564015911</v>
      </c>
      <c r="Y8" s="28">
        <f t="shared" si="21"/>
        <v>22.983072001183476</v>
      </c>
      <c r="Z8" s="28">
        <f t="shared" si="21"/>
        <v>27.124323925203402</v>
      </c>
      <c r="AA8" s="28">
        <f t="shared" si="21"/>
        <v>31.921683812159763</v>
      </c>
      <c r="AB8" s="28">
        <f t="shared" si="21"/>
        <v>23.991196195496492</v>
      </c>
      <c r="AC8" s="28">
        <f t="shared" si="21"/>
        <v>25.209793742196752</v>
      </c>
      <c r="AD8" s="28">
        <f t="shared" si="21"/>
        <v>24.282369643733453</v>
      </c>
      <c r="AE8" s="28">
        <f t="shared" si="21"/>
        <v>32.865329127460811</v>
      </c>
      <c r="AF8" s="28">
        <f t="shared" si="21"/>
        <v>29.974949455761045</v>
      </c>
      <c r="AG8" s="28">
        <f t="shared" si="21"/>
        <v>30.374871811215602</v>
      </c>
      <c r="AH8" s="28">
        <f t="shared" si="21"/>
        <v>31.931706124032861</v>
      </c>
      <c r="AI8" s="28">
        <f t="shared" si="21"/>
        <v>41.1153400289299</v>
      </c>
      <c r="AJ8" s="28">
        <f t="shared" si="21"/>
        <v>48.253122861610585</v>
      </c>
      <c r="AK8" s="28">
        <f t="shared" si="21"/>
        <v>48.687202139393563</v>
      </c>
      <c r="AL8" s="28">
        <f t="shared" si="21"/>
        <v>24.89606155491299</v>
      </c>
      <c r="AM8" s="28">
        <f t="shared" si="21"/>
        <v>25.08601905880003</v>
      </c>
      <c r="AN8" s="28">
        <f t="shared" si="21"/>
        <v>19.374993116624054</v>
      </c>
      <c r="AO8" s="28">
        <f t="shared" si="21"/>
        <v>36.211229986216885</v>
      </c>
      <c r="AP8" s="28">
        <f t="shared" si="21"/>
        <v>37.472092878654031</v>
      </c>
      <c r="AQ8" s="28">
        <f t="shared" si="21"/>
        <v>37.97464642009141</v>
      </c>
      <c r="AR8" s="28">
        <f t="shared" si="21"/>
        <v>32.865822317206614</v>
      </c>
      <c r="AS8" s="28">
        <f t="shared" si="21"/>
        <v>29.186472591295658</v>
      </c>
      <c r="AT8" s="28">
        <f t="shared" si="21"/>
        <v>27.022997249205911</v>
      </c>
      <c r="AU8" s="28">
        <f t="shared" si="21"/>
        <v>39.458778701549534</v>
      </c>
      <c r="AV8" s="28">
        <f t="shared" si="21"/>
        <v>35.541421736083386</v>
      </c>
      <c r="AW8" s="28">
        <f t="shared" si="21"/>
        <v>43.626061572531292</v>
      </c>
      <c r="AX8" s="28">
        <f t="shared" si="21"/>
        <v>41.404294902923176</v>
      </c>
      <c r="AY8" s="28">
        <f t="shared" si="21"/>
        <v>30.367120100931082</v>
      </c>
      <c r="AZ8" s="28">
        <f t="shared" si="21"/>
        <v>27.157390982847218</v>
      </c>
      <c r="BA8" s="29">
        <f t="shared" si="21"/>
        <v>24.961495091690541</v>
      </c>
      <c r="BB8" s="29">
        <f t="shared" si="21"/>
        <v>24.653726457114015</v>
      </c>
      <c r="BC8" s="29">
        <f t="shared" si="21"/>
        <v>24.037530078340488</v>
      </c>
      <c r="BD8" s="30"/>
      <c r="BE8" s="30"/>
      <c r="BF8" s="29">
        <f>BF7/BF118*100</f>
        <v>24.833214490184162</v>
      </c>
      <c r="BG8" s="29">
        <f>BG7/BG118*100</f>
        <v>57.110140406324838</v>
      </c>
      <c r="BH8" s="30"/>
      <c r="BI8" s="30"/>
      <c r="BJ8" s="30"/>
      <c r="BK8" s="28">
        <f>BK7/BK118*100</f>
        <v>26.269351086869335</v>
      </c>
      <c r="BL8" s="31">
        <f t="shared" si="15"/>
        <v>105.78312806524841</v>
      </c>
      <c r="BM8" s="31">
        <f t="shared" si="16"/>
        <v>60.214812293323227</v>
      </c>
      <c r="BN8" s="28">
        <f>BN7/BN118*100</f>
        <v>32.166909333502147</v>
      </c>
      <c r="BO8" s="31">
        <f t="shared" si="17"/>
        <v>122.4503385223729</v>
      </c>
      <c r="BP8" s="31">
        <f t="shared" si="18"/>
        <v>77.689788967354531</v>
      </c>
      <c r="BQ8" s="28">
        <f>BQ7/BQ118*100</f>
        <v>32.904549570161521</v>
      </c>
      <c r="BR8" s="31">
        <f t="shared" si="19"/>
        <v>102.29316478313667</v>
      </c>
    </row>
    <row r="9" spans="1:70" ht="24.75" customHeight="1" x14ac:dyDescent="0.3">
      <c r="A9" s="26" t="s">
        <v>76</v>
      </c>
      <c r="B9" s="32" t="s">
        <v>77</v>
      </c>
      <c r="C9" s="28">
        <f>C10+C12+C11+C13</f>
        <v>15401.951749999998</v>
      </c>
      <c r="D9" s="28">
        <f>D10+D12+D11</f>
        <v>13185</v>
      </c>
      <c r="E9" s="28">
        <f>E10+E12+E11+E13</f>
        <v>14911.900000000001</v>
      </c>
      <c r="F9" s="28">
        <f t="shared" ref="F9:AL9" si="22">F10+F12+F11</f>
        <v>15902.393760000001</v>
      </c>
      <c r="G9" s="28">
        <f t="shared" si="22"/>
        <v>14559</v>
      </c>
      <c r="H9" s="28">
        <f t="shared" si="22"/>
        <v>14606.9</v>
      </c>
      <c r="I9" s="28">
        <f t="shared" si="22"/>
        <v>2596.6538500000001</v>
      </c>
      <c r="J9" s="28">
        <f t="shared" si="22"/>
        <v>14518.527229999998</v>
      </c>
      <c r="K9" s="28">
        <f t="shared" si="22"/>
        <v>16170</v>
      </c>
      <c r="L9" s="28">
        <f t="shared" si="22"/>
        <v>15065.2</v>
      </c>
      <c r="M9" s="28">
        <f t="shared" si="22"/>
        <v>15247.035029999999</v>
      </c>
      <c r="N9" s="28">
        <f t="shared" si="22"/>
        <v>15247.035029999999</v>
      </c>
      <c r="O9" s="28">
        <f t="shared" si="22"/>
        <v>15496</v>
      </c>
      <c r="P9" s="28">
        <f t="shared" si="22"/>
        <v>15017.109999999999</v>
      </c>
      <c r="Q9" s="28">
        <f t="shared" si="22"/>
        <v>15156.567780000001</v>
      </c>
      <c r="R9" s="28">
        <f t="shared" si="22"/>
        <v>15156.567780000001</v>
      </c>
      <c r="S9" s="28">
        <f t="shared" si="22"/>
        <v>15700</v>
      </c>
      <c r="T9" s="28">
        <f t="shared" si="22"/>
        <v>18600</v>
      </c>
      <c r="U9" s="28">
        <f t="shared" si="22"/>
        <v>20100.46387</v>
      </c>
      <c r="V9" s="28">
        <f t="shared" si="22"/>
        <v>20100.46387</v>
      </c>
      <c r="W9" s="28">
        <f t="shared" si="22"/>
        <v>16600</v>
      </c>
      <c r="X9" s="28">
        <f t="shared" si="22"/>
        <v>20600.000000000004</v>
      </c>
      <c r="Y9" s="28">
        <f t="shared" si="22"/>
        <v>22670.61477</v>
      </c>
      <c r="Z9" s="28">
        <f t="shared" si="22"/>
        <v>22670.61477</v>
      </c>
      <c r="AA9" s="28">
        <f>AA10+AA12+AA11</f>
        <v>20750</v>
      </c>
      <c r="AB9" s="28">
        <f>AB10+AB12+AB11</f>
        <v>23868.2</v>
      </c>
      <c r="AC9" s="28">
        <f>AC10+AC12+AC11</f>
        <v>25160.394970000001</v>
      </c>
      <c r="AD9" s="28">
        <f>AD10+AD12+AD11</f>
        <v>25160.394970000001</v>
      </c>
      <c r="AE9" s="28">
        <f t="shared" si="22"/>
        <v>23300</v>
      </c>
      <c r="AF9" s="28">
        <f t="shared" si="22"/>
        <v>28663.3</v>
      </c>
      <c r="AG9" s="28">
        <f t="shared" si="22"/>
        <v>29073.868840000003</v>
      </c>
      <c r="AH9" s="28">
        <f t="shared" si="22"/>
        <v>29073.868840000003</v>
      </c>
      <c r="AI9" s="28">
        <f t="shared" si="22"/>
        <v>29500</v>
      </c>
      <c r="AJ9" s="28">
        <f t="shared" si="22"/>
        <v>30000</v>
      </c>
      <c r="AK9" s="28">
        <f t="shared" si="22"/>
        <v>30300</v>
      </c>
      <c r="AL9" s="28">
        <f t="shared" si="22"/>
        <v>25315.8</v>
      </c>
      <c r="AM9" s="28">
        <f>AM10+AM12+AM11</f>
        <v>25425.708859999999</v>
      </c>
      <c r="AN9" s="28">
        <f>AN10+AN12+AN11</f>
        <v>25425.708859999999</v>
      </c>
      <c r="AO9" s="28">
        <f t="shared" ref="AO9:AQ9" si="23">AO10+AO12+AO11</f>
        <v>25300</v>
      </c>
      <c r="AP9" s="28">
        <f t="shared" si="23"/>
        <v>25500</v>
      </c>
      <c r="AQ9" s="28">
        <f t="shared" si="23"/>
        <v>25900</v>
      </c>
      <c r="AR9" s="28">
        <f>AR10+AR12+AR11+AR13</f>
        <v>28571.300000000003</v>
      </c>
      <c r="AS9" s="28">
        <f>AS10+AS12+AS11+AS13</f>
        <v>26772.600000000002</v>
      </c>
      <c r="AT9" s="28">
        <f>AT10+AT12+AT11+AT13</f>
        <v>23118.48933</v>
      </c>
      <c r="AU9" s="28">
        <f>AU10+AU12+AU11+AU13</f>
        <v>23118.48933</v>
      </c>
      <c r="AV9" s="28">
        <f t="shared" ref="AV9:AX9" si="24">AV10+AV12+AV11</f>
        <v>25000</v>
      </c>
      <c r="AW9" s="28">
        <f t="shared" si="24"/>
        <v>25300</v>
      </c>
      <c r="AX9" s="28">
        <f t="shared" si="24"/>
        <v>25600</v>
      </c>
      <c r="AY9" s="28">
        <v>25000</v>
      </c>
      <c r="AZ9" s="28">
        <v>25000</v>
      </c>
      <c r="BA9" s="29">
        <v>24500</v>
      </c>
      <c r="BB9" s="29">
        <f>SUM(BB10:BB13)</f>
        <v>24500</v>
      </c>
      <c r="BC9" s="29">
        <f>BC10+BC12+BC11+BC13</f>
        <v>22879.5</v>
      </c>
      <c r="BD9" s="30">
        <f t="shared" si="9"/>
        <v>-2120.5</v>
      </c>
      <c r="BE9" s="30">
        <f t="shared" si="10"/>
        <v>91.518000000000001</v>
      </c>
      <c r="BF9" s="29">
        <f>BF10+BF12+BF11+BF13</f>
        <v>23767.066030000002</v>
      </c>
      <c r="BG9" s="29">
        <f>BG10+BG12+BG11+BG13</f>
        <v>23767.066030000002</v>
      </c>
      <c r="BH9" s="30">
        <f t="shared" si="11"/>
        <v>102.80544585220093</v>
      </c>
      <c r="BI9" s="30">
        <f t="shared" si="12"/>
        <v>95.068264120000009</v>
      </c>
      <c r="BJ9" s="30">
        <f t="shared" si="13"/>
        <v>103.87930693415504</v>
      </c>
      <c r="BK9" s="28">
        <f t="shared" ref="BK9:BQ9" si="25">BK10+BK12+BK11</f>
        <v>17900</v>
      </c>
      <c r="BL9" s="31">
        <f t="shared" si="15"/>
        <v>75.314302478083363</v>
      </c>
      <c r="BM9" s="31">
        <f t="shared" si="16"/>
        <v>70.750988142292499</v>
      </c>
      <c r="BN9" s="28">
        <f t="shared" si="25"/>
        <v>18300</v>
      </c>
      <c r="BO9" s="31">
        <f t="shared" si="17"/>
        <v>102.23463687150837</v>
      </c>
      <c r="BP9" s="31">
        <f t="shared" si="18"/>
        <v>71.484375</v>
      </c>
      <c r="BQ9" s="28">
        <f t="shared" si="25"/>
        <v>18800</v>
      </c>
      <c r="BR9" s="31">
        <f t="shared" si="19"/>
        <v>102.73224043715847</v>
      </c>
    </row>
    <row r="10" spans="1:70" ht="27.75" hidden="1" customHeight="1" x14ac:dyDescent="0.3">
      <c r="A10" s="34" t="s">
        <v>78</v>
      </c>
      <c r="B10" s="35" t="s">
        <v>79</v>
      </c>
      <c r="C10" s="31">
        <f>15127.14987+194.95549+11.61653</f>
        <v>15333.721889999999</v>
      </c>
      <c r="D10" s="31">
        <v>13185</v>
      </c>
      <c r="E10" s="31">
        <v>14901.7</v>
      </c>
      <c r="F10" s="31">
        <f>15823.70494+25.46208+42.39343+4.22606</f>
        <v>15895.78651</v>
      </c>
      <c r="G10" s="31">
        <v>14559</v>
      </c>
      <c r="H10" s="31">
        <v>14606.9</v>
      </c>
      <c r="I10" s="31">
        <v>2596.6538500000001</v>
      </c>
      <c r="J10" s="31">
        <f>14439.86216+57.38533+8.52167-4.22606</f>
        <v>14501.543099999999</v>
      </c>
      <c r="K10" s="31">
        <v>16170</v>
      </c>
      <c r="L10" s="31">
        <v>15023.2</v>
      </c>
      <c r="M10" s="31">
        <v>15204.066639999999</v>
      </c>
      <c r="N10" s="31">
        <v>15204.066639999999</v>
      </c>
      <c r="O10" s="31">
        <v>15496</v>
      </c>
      <c r="P10" s="31">
        <v>14865.272999999999</v>
      </c>
      <c r="Q10" s="31">
        <v>15004.4992</v>
      </c>
      <c r="R10" s="31">
        <v>15004.4992</v>
      </c>
      <c r="S10" s="31">
        <v>15700</v>
      </c>
      <c r="T10" s="31">
        <v>18405.5</v>
      </c>
      <c r="U10" s="31">
        <f>20280.17927+20.88915+1.119-396.22119</f>
        <v>19905.966229999998</v>
      </c>
      <c r="V10" s="31">
        <f>20302.18742-396.22119</f>
        <v>19905.966229999998</v>
      </c>
      <c r="W10" s="31">
        <v>16475</v>
      </c>
      <c r="X10" s="31">
        <v>20591.7</v>
      </c>
      <c r="Y10" s="31">
        <f>22538.17424+139.8485+0.1-15.8405</f>
        <v>22662.28224</v>
      </c>
      <c r="Z10" s="31">
        <f>22678.12274-15.8405</f>
        <v>22662.28224</v>
      </c>
      <c r="AA10" s="31">
        <v>20750</v>
      </c>
      <c r="AB10" s="31">
        <v>23808.2</v>
      </c>
      <c r="AC10" s="31">
        <v>25097.250889999999</v>
      </c>
      <c r="AD10" s="31">
        <v>25097.250889999999</v>
      </c>
      <c r="AE10" s="31">
        <v>23300</v>
      </c>
      <c r="AF10" s="31">
        <v>28418</v>
      </c>
      <c r="AG10" s="31">
        <v>28817.567790000001</v>
      </c>
      <c r="AH10" s="31">
        <v>28817.567790000001</v>
      </c>
      <c r="AI10" s="31">
        <v>29500</v>
      </c>
      <c r="AJ10" s="31">
        <v>30000</v>
      </c>
      <c r="AK10" s="31">
        <v>30300</v>
      </c>
      <c r="AL10" s="31">
        <v>25270</v>
      </c>
      <c r="AM10" s="31">
        <v>25365.440979999999</v>
      </c>
      <c r="AN10" s="31">
        <v>25365.440979999999</v>
      </c>
      <c r="AO10" s="31">
        <v>25300</v>
      </c>
      <c r="AP10" s="31">
        <v>25500</v>
      </c>
      <c r="AQ10" s="31">
        <v>25900</v>
      </c>
      <c r="AR10" s="31">
        <v>28486.5</v>
      </c>
      <c r="AS10" s="31">
        <v>26618.6</v>
      </c>
      <c r="AT10" s="31">
        <v>22936.823230000002</v>
      </c>
      <c r="AU10" s="31">
        <v>22936.823230000002</v>
      </c>
      <c r="AV10" s="31">
        <v>25000</v>
      </c>
      <c r="AW10" s="31">
        <v>25300</v>
      </c>
      <c r="AX10" s="31">
        <v>25600</v>
      </c>
      <c r="AY10" s="31"/>
      <c r="AZ10" s="31"/>
      <c r="BA10" s="30"/>
      <c r="BB10" s="30">
        <v>24425</v>
      </c>
      <c r="BC10" s="30">
        <v>22682.6</v>
      </c>
      <c r="BD10" s="30">
        <f t="shared" si="9"/>
        <v>-2317.4000000000015</v>
      </c>
      <c r="BE10" s="30">
        <f t="shared" si="10"/>
        <v>90.730399999999989</v>
      </c>
      <c r="BF10" s="36">
        <f>23365.82689+173.19461+22.27515</f>
        <v>23561.29665</v>
      </c>
      <c r="BG10" s="36">
        <f>23365.82689+173.19461+22.27515-0.1263</f>
        <v>23561.17035</v>
      </c>
      <c r="BH10" s="30">
        <f t="shared" si="11"/>
        <v>102.72258025332481</v>
      </c>
      <c r="BI10" s="30">
        <f t="shared" si="12"/>
        <v>94.245186599999997</v>
      </c>
      <c r="BJ10" s="30">
        <f t="shared" si="13"/>
        <v>103.87387975805244</v>
      </c>
      <c r="BK10" s="31">
        <v>17900</v>
      </c>
      <c r="BL10" s="31">
        <f t="shared" si="15"/>
        <v>75.972049696169847</v>
      </c>
      <c r="BM10" s="31">
        <f t="shared" si="16"/>
        <v>70.750988142292499</v>
      </c>
      <c r="BN10" s="31">
        <v>18300</v>
      </c>
      <c r="BO10" s="31">
        <f t="shared" si="17"/>
        <v>102.23463687150837</v>
      </c>
      <c r="BP10" s="31">
        <f t="shared" si="18"/>
        <v>71.484375</v>
      </c>
      <c r="BQ10" s="31">
        <v>18800</v>
      </c>
      <c r="BR10" s="31">
        <f t="shared" si="19"/>
        <v>102.73224043715847</v>
      </c>
    </row>
    <row r="11" spans="1:70" ht="27.75" hidden="1" customHeight="1" x14ac:dyDescent="0.3">
      <c r="A11" s="34" t="s">
        <v>80</v>
      </c>
      <c r="B11" s="37" t="s">
        <v>81</v>
      </c>
      <c r="C11" s="31">
        <f>2.69889+0.03686-0.00009</f>
        <v>2.7356599999999998</v>
      </c>
      <c r="D11" s="31">
        <v>0</v>
      </c>
      <c r="E11" s="31">
        <v>10.199999999999999</v>
      </c>
      <c r="F11" s="31">
        <f>10.90128+0.00004+0.3</f>
        <v>11.201320000000001</v>
      </c>
      <c r="G11" s="31">
        <v>0</v>
      </c>
      <c r="H11" s="31">
        <v>0</v>
      </c>
      <c r="I11" s="31"/>
      <c r="J11" s="31">
        <f>9.2982+0.00335+0.04007</f>
        <v>9.3416199999999989</v>
      </c>
      <c r="K11" s="31">
        <v>0</v>
      </c>
      <c r="L11" s="31">
        <v>2.1</v>
      </c>
      <c r="M11" s="31">
        <v>2.75522</v>
      </c>
      <c r="N11" s="31">
        <v>2.75522</v>
      </c>
      <c r="O11" s="31">
        <v>0</v>
      </c>
      <c r="P11" s="31">
        <v>131.167</v>
      </c>
      <c r="Q11" s="31">
        <v>131.2672</v>
      </c>
      <c r="R11" s="31">
        <v>131.2672</v>
      </c>
      <c r="S11" s="31">
        <v>0</v>
      </c>
      <c r="T11" s="31">
        <v>164.1</v>
      </c>
      <c r="U11" s="31">
        <f>128.6636+29.89595+5.66779</f>
        <v>164.22734</v>
      </c>
      <c r="V11" s="31">
        <v>164.22734</v>
      </c>
      <c r="W11" s="31">
        <v>100</v>
      </c>
      <c r="X11" s="31">
        <v>4.4000000000000004</v>
      </c>
      <c r="Y11" s="31">
        <f>0.15194+6.986-2.7358</f>
        <v>4.4021399999999993</v>
      </c>
      <c r="Z11" s="31">
        <f>7.13794-2.7358</f>
        <v>4.4021400000000011</v>
      </c>
      <c r="AA11" s="31">
        <v>0</v>
      </c>
      <c r="AB11" s="31">
        <v>59.5</v>
      </c>
      <c r="AC11" s="31">
        <v>59.489179999999998</v>
      </c>
      <c r="AD11" s="31">
        <v>59.489179999999998</v>
      </c>
      <c r="AE11" s="31">
        <v>0</v>
      </c>
      <c r="AF11" s="31">
        <v>237.6</v>
      </c>
      <c r="AG11" s="31">
        <v>246.55699999999999</v>
      </c>
      <c r="AH11" s="31">
        <v>246.55699999999999</v>
      </c>
      <c r="AI11" s="31">
        <v>0</v>
      </c>
      <c r="AJ11" s="31">
        <v>0</v>
      </c>
      <c r="AK11" s="31">
        <v>0</v>
      </c>
      <c r="AL11" s="31">
        <v>13</v>
      </c>
      <c r="AM11" s="31">
        <v>10.13115</v>
      </c>
      <c r="AN11" s="31">
        <v>10.13115</v>
      </c>
      <c r="AO11" s="31">
        <v>0</v>
      </c>
      <c r="AP11" s="31">
        <v>0</v>
      </c>
      <c r="AQ11" s="31">
        <v>0</v>
      </c>
      <c r="AR11" s="31">
        <v>20.7</v>
      </c>
      <c r="AS11" s="31">
        <v>26.7</v>
      </c>
      <c r="AT11" s="31">
        <v>30.430789999999998</v>
      </c>
      <c r="AU11" s="31">
        <v>30.430789999999998</v>
      </c>
      <c r="AV11" s="31">
        <v>0</v>
      </c>
      <c r="AW11" s="31">
        <v>0</v>
      </c>
      <c r="AX11" s="31">
        <v>0</v>
      </c>
      <c r="AY11" s="31"/>
      <c r="AZ11" s="31"/>
      <c r="BA11" s="30"/>
      <c r="BB11" s="30">
        <v>11</v>
      </c>
      <c r="BC11" s="30">
        <v>17.899999999999999</v>
      </c>
      <c r="BD11" s="30">
        <f t="shared" si="9"/>
        <v>17.899999999999999</v>
      </c>
      <c r="BE11" s="30" t="e">
        <f t="shared" si="10"/>
        <v>#DIV/0!</v>
      </c>
      <c r="BF11" s="36">
        <f>17.86683-0.01533</f>
        <v>17.851500000000001</v>
      </c>
      <c r="BG11" s="36">
        <f>17.99313-0.01533</f>
        <v>17.977800000000002</v>
      </c>
      <c r="BH11" s="30">
        <f t="shared" si="11"/>
        <v>58.662624269695272</v>
      </c>
      <c r="BI11" s="30" t="e">
        <f t="shared" si="12"/>
        <v>#DIV/0!</v>
      </c>
      <c r="BJ11" s="30">
        <f t="shared" si="13"/>
        <v>99.729050279329627</v>
      </c>
      <c r="BK11" s="31">
        <v>0</v>
      </c>
      <c r="BL11" s="31">
        <f t="shared" si="15"/>
        <v>0</v>
      </c>
      <c r="BM11" s="31" t="e">
        <f t="shared" si="16"/>
        <v>#DIV/0!</v>
      </c>
      <c r="BN11" s="31">
        <v>0</v>
      </c>
      <c r="BO11" s="31" t="e">
        <f t="shared" si="17"/>
        <v>#DIV/0!</v>
      </c>
      <c r="BP11" s="31" t="e">
        <f t="shared" si="18"/>
        <v>#DIV/0!</v>
      </c>
      <c r="BQ11" s="31">
        <v>0</v>
      </c>
      <c r="BR11" s="31" t="e">
        <f t="shared" si="19"/>
        <v>#DIV/0!</v>
      </c>
    </row>
    <row r="12" spans="1:70" ht="27.75" hidden="1" customHeight="1" x14ac:dyDescent="0.3">
      <c r="A12" s="34" t="s">
        <v>82</v>
      </c>
      <c r="B12" s="35" t="s">
        <v>83</v>
      </c>
      <c r="C12" s="31">
        <f>2.5461</f>
        <v>2.5461</v>
      </c>
      <c r="D12" s="31">
        <v>0</v>
      </c>
      <c r="E12" s="31">
        <v>0</v>
      </c>
      <c r="F12" s="31">
        <f>-4.7942+0.00013+0.2</f>
        <v>-4.5940699999999994</v>
      </c>
      <c r="G12" s="31">
        <v>0</v>
      </c>
      <c r="H12" s="31">
        <v>0</v>
      </c>
      <c r="I12" s="31">
        <v>0</v>
      </c>
      <c r="J12" s="31">
        <f>7.11987+0.02264+0.5</f>
        <v>7.6425099999999997</v>
      </c>
      <c r="K12" s="31">
        <v>0</v>
      </c>
      <c r="L12" s="31">
        <v>39.9</v>
      </c>
      <c r="M12" s="31">
        <v>40.213169999999998</v>
      </c>
      <c r="N12" s="31">
        <v>40.213169999999998</v>
      </c>
      <c r="O12" s="31">
        <v>0</v>
      </c>
      <c r="P12" s="31">
        <v>20.67</v>
      </c>
      <c r="Q12" s="31">
        <v>20.801380000000002</v>
      </c>
      <c r="R12" s="31">
        <v>20.801380000000002</v>
      </c>
      <c r="S12" s="31">
        <v>0</v>
      </c>
      <c r="T12" s="31">
        <v>30.4</v>
      </c>
      <c r="U12" s="31">
        <f>29.7232+0.1471+0.4</f>
        <v>30.270299999999999</v>
      </c>
      <c r="V12" s="31">
        <v>30.270299999999999</v>
      </c>
      <c r="W12" s="31">
        <v>25</v>
      </c>
      <c r="X12" s="31">
        <v>3.9</v>
      </c>
      <c r="Y12" s="31">
        <f>2.494+0.28639+1.15</f>
        <v>3.9303900000000001</v>
      </c>
      <c r="Z12" s="31">
        <v>3.9303900000000001</v>
      </c>
      <c r="AA12" s="31">
        <v>0</v>
      </c>
      <c r="AB12" s="31">
        <v>0.5</v>
      </c>
      <c r="AC12" s="31">
        <v>3.6549</v>
      </c>
      <c r="AD12" s="31">
        <v>3.6549</v>
      </c>
      <c r="AE12" s="31">
        <v>0</v>
      </c>
      <c r="AF12" s="31">
        <v>7.7</v>
      </c>
      <c r="AG12" s="31">
        <v>9.7440499999999997</v>
      </c>
      <c r="AH12" s="31">
        <v>9.7440499999999997</v>
      </c>
      <c r="AI12" s="31">
        <v>0</v>
      </c>
      <c r="AJ12" s="31">
        <v>0</v>
      </c>
      <c r="AK12" s="31">
        <v>0</v>
      </c>
      <c r="AL12" s="31">
        <v>32.799999999999997</v>
      </c>
      <c r="AM12" s="31">
        <v>50.13673</v>
      </c>
      <c r="AN12" s="31">
        <v>50.13673</v>
      </c>
      <c r="AO12" s="31">
        <v>0</v>
      </c>
      <c r="AP12" s="31">
        <v>0</v>
      </c>
      <c r="AQ12" s="31">
        <v>0</v>
      </c>
      <c r="AR12" s="31">
        <v>38.700000000000003</v>
      </c>
      <c r="AS12" s="31">
        <v>47.9</v>
      </c>
      <c r="AT12" s="31">
        <v>48.112229999999997</v>
      </c>
      <c r="AU12" s="31">
        <v>48.112229999999997</v>
      </c>
      <c r="AV12" s="31">
        <v>0</v>
      </c>
      <c r="AW12" s="31">
        <v>0</v>
      </c>
      <c r="AX12" s="31">
        <v>0</v>
      </c>
      <c r="AY12" s="31"/>
      <c r="AZ12" s="31"/>
      <c r="BA12" s="30"/>
      <c r="BB12" s="30">
        <v>41</v>
      </c>
      <c r="BC12" s="30">
        <v>55.5</v>
      </c>
      <c r="BD12" s="30">
        <f t="shared" si="9"/>
        <v>55.5</v>
      </c>
      <c r="BE12" s="30" t="e">
        <f t="shared" si="10"/>
        <v>#DIV/0!</v>
      </c>
      <c r="BF12" s="30">
        <f>53.16175+1.93143+0.9972</f>
        <v>56.090379999999996</v>
      </c>
      <c r="BG12" s="30">
        <f>53.16175+1.93143+0.9972</f>
        <v>56.090379999999996</v>
      </c>
      <c r="BH12" s="30">
        <f t="shared" si="11"/>
        <v>116.58237416972774</v>
      </c>
      <c r="BI12" s="30" t="e">
        <f t="shared" si="12"/>
        <v>#DIV/0!</v>
      </c>
      <c r="BJ12" s="30">
        <f t="shared" si="13"/>
        <v>101.06374774774774</v>
      </c>
      <c r="BK12" s="31">
        <v>0</v>
      </c>
      <c r="BL12" s="31">
        <f t="shared" si="15"/>
        <v>0</v>
      </c>
      <c r="BM12" s="31" t="e">
        <f t="shared" si="16"/>
        <v>#DIV/0!</v>
      </c>
      <c r="BN12" s="31">
        <v>0</v>
      </c>
      <c r="BO12" s="31" t="e">
        <f t="shared" si="17"/>
        <v>#DIV/0!</v>
      </c>
      <c r="BP12" s="31" t="e">
        <f t="shared" si="18"/>
        <v>#DIV/0!</v>
      </c>
      <c r="BQ12" s="31">
        <v>0</v>
      </c>
      <c r="BR12" s="31" t="e">
        <f t="shared" si="19"/>
        <v>#DIV/0!</v>
      </c>
    </row>
    <row r="13" spans="1:70" ht="27.75" hidden="1" customHeight="1" x14ac:dyDescent="0.3">
      <c r="A13" s="19" t="s">
        <v>84</v>
      </c>
      <c r="B13" s="38" t="s">
        <v>85</v>
      </c>
      <c r="C13" s="31">
        <f>62.6985+0.2496</f>
        <v>62.948100000000004</v>
      </c>
      <c r="D13" s="31">
        <v>0</v>
      </c>
      <c r="E13" s="31">
        <v>0</v>
      </c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>
        <v>25.4</v>
      </c>
      <c r="AS13" s="31">
        <v>79.400000000000006</v>
      </c>
      <c r="AT13" s="31">
        <v>103.12308</v>
      </c>
      <c r="AU13" s="31">
        <v>103.12308</v>
      </c>
      <c r="AV13" s="31"/>
      <c r="AW13" s="31"/>
      <c r="AX13" s="31"/>
      <c r="AY13" s="31"/>
      <c r="AZ13" s="31"/>
      <c r="BA13" s="30"/>
      <c r="BB13" s="30">
        <v>23</v>
      </c>
      <c r="BC13" s="30">
        <v>123.5</v>
      </c>
      <c r="BD13" s="30">
        <f t="shared" si="9"/>
        <v>123.5</v>
      </c>
      <c r="BE13" s="30" t="e">
        <f t="shared" si="10"/>
        <v>#DIV/0!</v>
      </c>
      <c r="BF13" s="30">
        <v>131.82749999999999</v>
      </c>
      <c r="BG13" s="30">
        <v>131.82749999999999</v>
      </c>
      <c r="BH13" s="30">
        <f t="shared" si="11"/>
        <v>127.83510732999828</v>
      </c>
      <c r="BI13" s="30" t="e">
        <f t="shared" si="12"/>
        <v>#DIV/0!</v>
      </c>
      <c r="BJ13" s="30">
        <f t="shared" si="13"/>
        <v>106.74291497975707</v>
      </c>
      <c r="BK13" s="31"/>
      <c r="BL13" s="31">
        <f t="shared" si="15"/>
        <v>0</v>
      </c>
      <c r="BM13" s="31" t="e">
        <f t="shared" si="16"/>
        <v>#DIV/0!</v>
      </c>
      <c r="BN13" s="31"/>
      <c r="BO13" s="31" t="e">
        <f t="shared" si="17"/>
        <v>#DIV/0!</v>
      </c>
      <c r="BP13" s="31" t="e">
        <f t="shared" si="18"/>
        <v>#DIV/0!</v>
      </c>
      <c r="BQ13" s="31"/>
      <c r="BR13" s="31" t="e">
        <f t="shared" si="19"/>
        <v>#DIV/0!</v>
      </c>
    </row>
    <row r="14" spans="1:70" ht="28.5" customHeight="1" x14ac:dyDescent="0.3">
      <c r="A14" s="39" t="s">
        <v>86</v>
      </c>
      <c r="B14" s="40" t="s">
        <v>87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28">
        <f t="shared" ref="W14:AL14" si="26">W15+W16+W17+W18</f>
        <v>5713</v>
      </c>
      <c r="X14" s="28">
        <f t="shared" si="26"/>
        <v>4483</v>
      </c>
      <c r="Y14" s="28">
        <f t="shared" si="26"/>
        <v>4603.9969000000001</v>
      </c>
      <c r="Z14" s="28">
        <f t="shared" si="26"/>
        <v>4603.9969000000001</v>
      </c>
      <c r="AA14" s="28">
        <f>AA15+AA16+AA17+AA18</f>
        <v>4231.6000000000004</v>
      </c>
      <c r="AB14" s="28">
        <f>AB15+AB16+AB17+AB18</f>
        <v>4231.6000000000004</v>
      </c>
      <c r="AC14" s="28">
        <f>AC15+AC16+AC17+AC18</f>
        <v>4960.1900500000002</v>
      </c>
      <c r="AD14" s="28">
        <f>AD15+AD16+AD17+AD18</f>
        <v>4960.1900500000002</v>
      </c>
      <c r="AE14" s="28">
        <f t="shared" si="26"/>
        <v>4138.7</v>
      </c>
      <c r="AF14" s="28">
        <f t="shared" si="26"/>
        <v>4504.2</v>
      </c>
      <c r="AG14" s="28">
        <f t="shared" si="26"/>
        <v>4566.2056199999997</v>
      </c>
      <c r="AH14" s="28">
        <f t="shared" si="26"/>
        <v>4566.2056199999997</v>
      </c>
      <c r="AI14" s="28">
        <f t="shared" si="26"/>
        <v>4257.3</v>
      </c>
      <c r="AJ14" s="28">
        <f t="shared" si="26"/>
        <v>4738.6000000000004</v>
      </c>
      <c r="AK14" s="28">
        <f t="shared" si="26"/>
        <v>4738.6000000000004</v>
      </c>
      <c r="AL14" s="28">
        <f t="shared" si="26"/>
        <v>4257.3</v>
      </c>
      <c r="AM14" s="28">
        <f>AM15+AM16+AM17+AM18</f>
        <v>4184.93541</v>
      </c>
      <c r="AN14" s="28">
        <f>AN15+AN16+AN17+AN18</f>
        <v>4184.93541</v>
      </c>
      <c r="AO14" s="28">
        <f t="shared" ref="AO14:AR14" si="27">AO15+AO16+AO17+AO18</f>
        <v>4207.6000000000004</v>
      </c>
      <c r="AP14" s="28">
        <f t="shared" si="27"/>
        <v>4207.6000000000004</v>
      </c>
      <c r="AQ14" s="28">
        <f t="shared" si="27"/>
        <v>4207.6000000000004</v>
      </c>
      <c r="AR14" s="28">
        <f t="shared" si="27"/>
        <v>4207.6000000000004</v>
      </c>
      <c r="AS14" s="28">
        <f>AS15+AS16+AS17+AS18</f>
        <v>4707.6000000000004</v>
      </c>
      <c r="AT14" s="28">
        <f>AT15+AT16+AT17+AT18</f>
        <v>4789.2108899999994</v>
      </c>
      <c r="AU14" s="28">
        <f>AU15+AU16+AU17+AU18</f>
        <v>4789.2108899999994</v>
      </c>
      <c r="AV14" s="28">
        <f t="shared" ref="AV14:AX14" si="28">AV15+AV16+AV17+AV18</f>
        <v>4634.7</v>
      </c>
      <c r="AW14" s="28">
        <f t="shared" si="28"/>
        <v>4888.2</v>
      </c>
      <c r="AX14" s="28">
        <f t="shared" si="28"/>
        <v>4888.2</v>
      </c>
      <c r="AY14" s="28">
        <v>5016.5</v>
      </c>
      <c r="AZ14" s="28">
        <v>5016.5</v>
      </c>
      <c r="BA14" s="29">
        <v>5016.5</v>
      </c>
      <c r="BB14" s="29">
        <v>5016.5</v>
      </c>
      <c r="BC14" s="29">
        <f>BC15+BC16+BC17+BC18</f>
        <v>5336.5</v>
      </c>
      <c r="BD14" s="30">
        <f t="shared" si="9"/>
        <v>701.80000000000018</v>
      </c>
      <c r="BE14" s="30">
        <f t="shared" si="10"/>
        <v>115.14229615724858</v>
      </c>
      <c r="BF14" s="29">
        <f>BF15+BF16+BF17+BF18</f>
        <v>5788.7113200000003</v>
      </c>
      <c r="BG14" s="29">
        <f>BG15+BG16+BG17+BG18</f>
        <v>5788.7113200000003</v>
      </c>
      <c r="BH14" s="30">
        <f t="shared" si="11"/>
        <v>120.86983540622495</v>
      </c>
      <c r="BI14" s="30">
        <f t="shared" si="12"/>
        <v>124.89937471681016</v>
      </c>
      <c r="BJ14" s="30">
        <f t="shared" si="13"/>
        <v>108.4739308535557</v>
      </c>
      <c r="BK14" s="28">
        <f t="shared" ref="BK14:BQ14" si="29">BK15+BK16+BK17+BK18</f>
        <v>4949.5</v>
      </c>
      <c r="BL14" s="31">
        <f t="shared" si="15"/>
        <v>85.502622714998338</v>
      </c>
      <c r="BM14" s="31">
        <f t="shared" si="16"/>
        <v>101.25404034204819</v>
      </c>
      <c r="BN14" s="28">
        <f t="shared" si="29"/>
        <v>5027.7999999999993</v>
      </c>
      <c r="BO14" s="31">
        <f t="shared" si="17"/>
        <v>101.58197797757347</v>
      </c>
      <c r="BP14" s="31">
        <f t="shared" si="18"/>
        <v>102.85585696166277</v>
      </c>
      <c r="BQ14" s="28">
        <f t="shared" si="29"/>
        <v>5027.7999999999993</v>
      </c>
      <c r="BR14" s="31">
        <f t="shared" si="19"/>
        <v>100</v>
      </c>
    </row>
    <row r="15" spans="1:70" ht="27.75" hidden="1" customHeight="1" x14ac:dyDescent="0.3">
      <c r="A15" s="41" t="s">
        <v>88</v>
      </c>
      <c r="B15" s="38" t="s">
        <v>89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>
        <v>1942.4</v>
      </c>
      <c r="X15" s="31">
        <v>1900</v>
      </c>
      <c r="Y15" s="31">
        <v>1891.7793999999999</v>
      </c>
      <c r="Z15" s="31">
        <v>1891.7793999999999</v>
      </c>
      <c r="AA15" s="31">
        <v>1438.7439999999999</v>
      </c>
      <c r="AB15" s="31">
        <v>1438.7439999999999</v>
      </c>
      <c r="AC15" s="31">
        <v>2210.08853</v>
      </c>
      <c r="AD15" s="31">
        <v>2210.08853</v>
      </c>
      <c r="AE15" s="31">
        <v>1407.2</v>
      </c>
      <c r="AF15" s="31">
        <v>1800</v>
      </c>
      <c r="AG15" s="31">
        <v>2078.4598799999999</v>
      </c>
      <c r="AH15" s="31">
        <v>2078.4598799999999</v>
      </c>
      <c r="AI15" s="31">
        <v>1447.5</v>
      </c>
      <c r="AJ15" s="31">
        <v>1611.1</v>
      </c>
      <c r="AK15" s="31">
        <v>1611.1</v>
      </c>
      <c r="AL15" s="31">
        <v>1447.5</v>
      </c>
      <c r="AM15" s="31">
        <v>1930.2501999999999</v>
      </c>
      <c r="AN15" s="31">
        <v>1930.2501999999999</v>
      </c>
      <c r="AO15" s="31">
        <v>1430.6</v>
      </c>
      <c r="AP15" s="31">
        <v>1430.6</v>
      </c>
      <c r="AQ15" s="31">
        <v>1430.6</v>
      </c>
      <c r="AR15" s="31">
        <v>1430.6</v>
      </c>
      <c r="AS15" s="31">
        <v>1930.6</v>
      </c>
      <c r="AT15" s="31">
        <v>2210.98513</v>
      </c>
      <c r="AU15" s="31">
        <v>2210.98513</v>
      </c>
      <c r="AV15" s="31">
        <v>2118</v>
      </c>
      <c r="AW15" s="31">
        <v>2233.9</v>
      </c>
      <c r="AX15" s="31">
        <v>2233.9</v>
      </c>
      <c r="AY15" s="31"/>
      <c r="AZ15" s="31"/>
      <c r="BA15" s="30"/>
      <c r="BB15" s="30">
        <v>2268.1</v>
      </c>
      <c r="BC15" s="30">
        <v>2412.1</v>
      </c>
      <c r="BD15" s="30">
        <f t="shared" si="9"/>
        <v>294.09999999999991</v>
      </c>
      <c r="BE15" s="30">
        <f t="shared" si="10"/>
        <v>113.88574126534465</v>
      </c>
      <c r="BF15" s="30">
        <v>2901.9217400000002</v>
      </c>
      <c r="BG15" s="30">
        <v>2901.9217400000002</v>
      </c>
      <c r="BH15" s="30">
        <f t="shared" si="11"/>
        <v>131.25016991860093</v>
      </c>
      <c r="BI15" s="30">
        <f t="shared" si="12"/>
        <v>137.01235788479698</v>
      </c>
      <c r="BJ15" s="30">
        <f t="shared" si="13"/>
        <v>120.30685875378302</v>
      </c>
      <c r="BK15" s="31">
        <v>2386.5</v>
      </c>
      <c r="BL15" s="31">
        <f t="shared" si="15"/>
        <v>82.238606475996818</v>
      </c>
      <c r="BM15" s="31">
        <f t="shared" si="16"/>
        <v>106.83110255606788</v>
      </c>
      <c r="BN15" s="31">
        <v>2388.5</v>
      </c>
      <c r="BO15" s="31">
        <f t="shared" si="17"/>
        <v>100.08380473496752</v>
      </c>
      <c r="BP15" s="31">
        <f t="shared" si="18"/>
        <v>106.92063207842786</v>
      </c>
      <c r="BQ15" s="31">
        <v>2388.5</v>
      </c>
      <c r="BR15" s="31">
        <f t="shared" si="19"/>
        <v>100</v>
      </c>
    </row>
    <row r="16" spans="1:70" ht="27.75" hidden="1" customHeight="1" x14ac:dyDescent="0.3">
      <c r="A16" s="41" t="s">
        <v>90</v>
      </c>
      <c r="B16" s="38" t="s">
        <v>91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>
        <v>57.1</v>
      </c>
      <c r="X16" s="31">
        <v>18</v>
      </c>
      <c r="Y16" s="31">
        <v>19.204740000000001</v>
      </c>
      <c r="Z16" s="31">
        <v>19.204740000000001</v>
      </c>
      <c r="AA16" s="31">
        <v>42.316000000000003</v>
      </c>
      <c r="AB16" s="31">
        <v>42.316000000000003</v>
      </c>
      <c r="AC16" s="31">
        <v>21.284700000000001</v>
      </c>
      <c r="AD16" s="31">
        <v>21.284700000000001</v>
      </c>
      <c r="AE16" s="31">
        <v>41.4</v>
      </c>
      <c r="AF16" s="31">
        <v>14.1</v>
      </c>
      <c r="AG16" s="31">
        <v>15.277229999999999</v>
      </c>
      <c r="AH16" s="31">
        <v>15.277229999999999</v>
      </c>
      <c r="AI16" s="31">
        <v>42.5</v>
      </c>
      <c r="AJ16" s="31">
        <v>47.4</v>
      </c>
      <c r="AK16" s="31">
        <v>47.4</v>
      </c>
      <c r="AL16" s="31">
        <v>42.5</v>
      </c>
      <c r="AM16" s="31">
        <v>13.80654</v>
      </c>
      <c r="AN16" s="31">
        <v>13.80654</v>
      </c>
      <c r="AO16" s="31">
        <v>42.1</v>
      </c>
      <c r="AP16" s="31">
        <v>42.1</v>
      </c>
      <c r="AQ16" s="31">
        <v>42.1</v>
      </c>
      <c r="AR16" s="31">
        <v>42.1</v>
      </c>
      <c r="AS16" s="31">
        <v>42.1</v>
      </c>
      <c r="AT16" s="31">
        <v>15.54926</v>
      </c>
      <c r="AU16" s="31">
        <v>15.54926</v>
      </c>
      <c r="AV16" s="31">
        <v>14</v>
      </c>
      <c r="AW16" s="31">
        <v>14.7</v>
      </c>
      <c r="AX16" s="31">
        <v>14.7</v>
      </c>
      <c r="AY16" s="31"/>
      <c r="AZ16" s="31"/>
      <c r="BA16" s="30"/>
      <c r="BB16" s="30">
        <v>12.6</v>
      </c>
      <c r="BC16" s="30">
        <v>12.6</v>
      </c>
      <c r="BD16" s="30">
        <f t="shared" si="9"/>
        <v>-1.4000000000000004</v>
      </c>
      <c r="BE16" s="30">
        <f t="shared" si="10"/>
        <v>90</v>
      </c>
      <c r="BF16" s="30">
        <v>15.67487</v>
      </c>
      <c r="BG16" s="30">
        <v>15.67487</v>
      </c>
      <c r="BH16" s="30">
        <f t="shared" si="11"/>
        <v>100.80781979335352</v>
      </c>
      <c r="BI16" s="30">
        <f t="shared" si="12"/>
        <v>111.96335714285715</v>
      </c>
      <c r="BJ16" s="30">
        <f t="shared" si="13"/>
        <v>124.40373015873017</v>
      </c>
      <c r="BK16" s="31">
        <v>14</v>
      </c>
      <c r="BL16" s="31">
        <f t="shared" si="15"/>
        <v>89.314935307278461</v>
      </c>
      <c r="BM16" s="31">
        <f t="shared" si="16"/>
        <v>95.238095238095241</v>
      </c>
      <c r="BN16" s="31">
        <v>14.7</v>
      </c>
      <c r="BO16" s="31">
        <f t="shared" si="17"/>
        <v>105</v>
      </c>
      <c r="BP16" s="31">
        <f t="shared" si="18"/>
        <v>100</v>
      </c>
      <c r="BQ16" s="31">
        <v>14.7</v>
      </c>
      <c r="BR16" s="31">
        <f t="shared" si="19"/>
        <v>100</v>
      </c>
    </row>
    <row r="17" spans="1:70" ht="27.75" hidden="1" customHeight="1" x14ac:dyDescent="0.3">
      <c r="A17" s="41" t="s">
        <v>92</v>
      </c>
      <c r="B17" s="38" t="s">
        <v>93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>
        <v>3713.5</v>
      </c>
      <c r="X17" s="31">
        <v>2565</v>
      </c>
      <c r="Y17" s="31">
        <v>3059.4056300000002</v>
      </c>
      <c r="Z17" s="31">
        <v>3059.4056300000002</v>
      </c>
      <c r="AA17" s="31">
        <v>2750.54</v>
      </c>
      <c r="AB17" s="31">
        <v>2750.54</v>
      </c>
      <c r="AC17" s="31">
        <v>3224.0020599999998</v>
      </c>
      <c r="AD17" s="31">
        <v>3224.0020599999998</v>
      </c>
      <c r="AE17" s="31">
        <v>2690.1</v>
      </c>
      <c r="AF17" s="31">
        <v>2690.1</v>
      </c>
      <c r="AG17" s="31">
        <v>2776.8294599999999</v>
      </c>
      <c r="AH17" s="31">
        <v>2776.8294599999999</v>
      </c>
      <c r="AI17" s="31">
        <v>2767.3</v>
      </c>
      <c r="AJ17" s="31">
        <v>3080.1</v>
      </c>
      <c r="AK17" s="31">
        <v>3080.1</v>
      </c>
      <c r="AL17" s="31">
        <v>2767.3</v>
      </c>
      <c r="AM17" s="31">
        <v>2596.7288600000002</v>
      </c>
      <c r="AN17" s="31">
        <v>2596.7288600000002</v>
      </c>
      <c r="AO17" s="31">
        <v>2734.9</v>
      </c>
      <c r="AP17" s="31">
        <v>2734.9</v>
      </c>
      <c r="AQ17" s="31">
        <v>2734.9</v>
      </c>
      <c r="AR17" s="31">
        <v>2734.9</v>
      </c>
      <c r="AS17" s="31">
        <v>2734.9</v>
      </c>
      <c r="AT17" s="31">
        <v>2939.7062099999998</v>
      </c>
      <c r="AU17" s="31">
        <v>2939.7062099999998</v>
      </c>
      <c r="AV17" s="31">
        <v>2502.6999999999998</v>
      </c>
      <c r="AW17" s="31">
        <v>2639.6</v>
      </c>
      <c r="AX17" s="31">
        <v>2639.6</v>
      </c>
      <c r="AY17" s="31"/>
      <c r="AZ17" s="31"/>
      <c r="BA17" s="30"/>
      <c r="BB17" s="30">
        <v>2735.8</v>
      </c>
      <c r="BC17" s="30">
        <v>2911.8</v>
      </c>
      <c r="BD17" s="30">
        <f t="shared" si="9"/>
        <v>409.10000000000036</v>
      </c>
      <c r="BE17" s="30">
        <f t="shared" si="10"/>
        <v>116.34634594637794</v>
      </c>
      <c r="BF17" s="30">
        <v>3204.04934</v>
      </c>
      <c r="BG17" s="30">
        <v>3204.04934</v>
      </c>
      <c r="BH17" s="30">
        <f t="shared" si="11"/>
        <v>108.99216149902273</v>
      </c>
      <c r="BI17" s="30">
        <f t="shared" si="12"/>
        <v>128.02370799536502</v>
      </c>
      <c r="BJ17" s="30">
        <f t="shared" si="13"/>
        <v>110.03672436293701</v>
      </c>
      <c r="BK17" s="31">
        <v>2549</v>
      </c>
      <c r="BL17" s="31">
        <f t="shared" si="15"/>
        <v>79.555578878819631</v>
      </c>
      <c r="BM17" s="31">
        <f t="shared" si="16"/>
        <v>96.567661766934393</v>
      </c>
      <c r="BN17" s="31">
        <v>2624.6</v>
      </c>
      <c r="BO17" s="31">
        <f t="shared" si="17"/>
        <v>102.96586896822282</v>
      </c>
      <c r="BP17" s="31">
        <f t="shared" si="18"/>
        <v>99.431732080618275</v>
      </c>
      <c r="BQ17" s="31">
        <v>2624.6</v>
      </c>
      <c r="BR17" s="31">
        <f t="shared" si="19"/>
        <v>100</v>
      </c>
    </row>
    <row r="18" spans="1:70" ht="27.75" hidden="1" customHeight="1" x14ac:dyDescent="0.3">
      <c r="A18" s="42" t="s">
        <v>94</v>
      </c>
      <c r="B18" s="38" t="s">
        <v>95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>
        <v>0</v>
      </c>
      <c r="Y18" s="31">
        <v>-366.39287000000002</v>
      </c>
      <c r="Z18" s="31">
        <v>-366.39287000000002</v>
      </c>
      <c r="AA18" s="31"/>
      <c r="AB18" s="31">
        <v>0</v>
      </c>
      <c r="AC18" s="31">
        <v>-495.18524000000002</v>
      </c>
      <c r="AD18" s="31">
        <v>-495.18524000000002</v>
      </c>
      <c r="AE18" s="31"/>
      <c r="AF18" s="31">
        <v>0</v>
      </c>
      <c r="AG18" s="31">
        <v>-304.36095</v>
      </c>
      <c r="AH18" s="31">
        <v>-304.36095</v>
      </c>
      <c r="AI18" s="31"/>
      <c r="AJ18" s="31"/>
      <c r="AK18" s="31"/>
      <c r="AL18" s="31"/>
      <c r="AM18" s="31">
        <v>-355.85019</v>
      </c>
      <c r="AN18" s="31">
        <v>-355.85019</v>
      </c>
      <c r="AO18" s="31"/>
      <c r="AP18" s="31"/>
      <c r="AQ18" s="31"/>
      <c r="AR18" s="31"/>
      <c r="AS18" s="31"/>
      <c r="AT18" s="31">
        <v>-377.02971000000002</v>
      </c>
      <c r="AU18" s="31">
        <v>-377.02971000000002</v>
      </c>
      <c r="AV18" s="31"/>
      <c r="AW18" s="31"/>
      <c r="AX18" s="31"/>
      <c r="AY18" s="31"/>
      <c r="AZ18" s="31"/>
      <c r="BA18" s="30"/>
      <c r="BB18" s="30"/>
      <c r="BC18" s="30"/>
      <c r="BD18" s="30">
        <f t="shared" si="9"/>
        <v>0</v>
      </c>
      <c r="BE18" s="30" t="e">
        <f t="shared" si="10"/>
        <v>#DIV/0!</v>
      </c>
      <c r="BF18" s="30">
        <v>-332.93463000000003</v>
      </c>
      <c r="BG18" s="30">
        <v>-332.93463000000003</v>
      </c>
      <c r="BH18" s="30">
        <f t="shared" si="11"/>
        <v>88.304613978564177</v>
      </c>
      <c r="BI18" s="30" t="e">
        <f t="shared" si="12"/>
        <v>#DIV/0!</v>
      </c>
      <c r="BJ18" s="30" t="e">
        <f t="shared" si="13"/>
        <v>#DIV/0!</v>
      </c>
      <c r="BK18" s="31"/>
      <c r="BL18" s="31">
        <f t="shared" si="15"/>
        <v>0</v>
      </c>
      <c r="BM18" s="31" t="e">
        <f t="shared" si="16"/>
        <v>#DIV/0!</v>
      </c>
      <c r="BN18" s="31"/>
      <c r="BO18" s="31" t="e">
        <f t="shared" si="17"/>
        <v>#DIV/0!</v>
      </c>
      <c r="BP18" s="31" t="e">
        <f t="shared" si="18"/>
        <v>#DIV/0!</v>
      </c>
      <c r="BQ18" s="31"/>
      <c r="BR18" s="31" t="e">
        <f t="shared" si="19"/>
        <v>#DIV/0!</v>
      </c>
    </row>
    <row r="19" spans="1:70" s="45" customFormat="1" ht="27.75" hidden="1" customHeight="1" x14ac:dyDescent="0.3">
      <c r="A19" s="43" t="s">
        <v>96</v>
      </c>
      <c r="B19" s="44" t="s">
        <v>97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/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0.5</v>
      </c>
      <c r="Q19" s="28">
        <v>0.5</v>
      </c>
      <c r="R19" s="28">
        <v>0.5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9"/>
      <c r="BB19" s="29"/>
      <c r="BC19" s="29"/>
      <c r="BD19" s="30">
        <f t="shared" si="9"/>
        <v>0</v>
      </c>
      <c r="BE19" s="30" t="e">
        <f t="shared" si="10"/>
        <v>#DIV/0!</v>
      </c>
      <c r="BF19" s="29"/>
      <c r="BG19" s="29"/>
      <c r="BH19" s="30" t="e">
        <f t="shared" si="11"/>
        <v>#DIV/0!</v>
      </c>
      <c r="BI19" s="30" t="e">
        <f t="shared" si="12"/>
        <v>#DIV/0!</v>
      </c>
      <c r="BJ19" s="30" t="e">
        <f t="shared" si="13"/>
        <v>#DIV/0!</v>
      </c>
      <c r="BK19" s="28"/>
      <c r="BL19" s="31" t="e">
        <f t="shared" si="15"/>
        <v>#DIV/0!</v>
      </c>
      <c r="BM19" s="31" t="e">
        <f t="shared" si="16"/>
        <v>#DIV/0!</v>
      </c>
      <c r="BN19" s="28"/>
      <c r="BO19" s="31" t="e">
        <f t="shared" si="17"/>
        <v>#DIV/0!</v>
      </c>
      <c r="BP19" s="31" t="e">
        <f t="shared" si="18"/>
        <v>#DIV/0!</v>
      </c>
      <c r="BQ19" s="28"/>
      <c r="BR19" s="31" t="e">
        <f t="shared" si="19"/>
        <v>#DIV/0!</v>
      </c>
    </row>
    <row r="20" spans="1:70" ht="21.75" customHeight="1" x14ac:dyDescent="0.3">
      <c r="A20" s="26" t="s">
        <v>98</v>
      </c>
      <c r="B20" s="27" t="s">
        <v>99</v>
      </c>
      <c r="C20" s="28">
        <f t="shared" ref="C20:AF20" si="30">C27+C21</f>
        <v>2823.8500340000001</v>
      </c>
      <c r="D20" s="28">
        <f t="shared" si="30"/>
        <v>791</v>
      </c>
      <c r="E20" s="28">
        <f t="shared" si="30"/>
        <v>1199</v>
      </c>
      <c r="F20" s="28">
        <f t="shared" si="30"/>
        <v>1507.6529999999998</v>
      </c>
      <c r="G20" s="28">
        <f t="shared" si="30"/>
        <v>873</v>
      </c>
      <c r="H20" s="28">
        <f t="shared" si="30"/>
        <v>1480.4</v>
      </c>
      <c r="I20" s="28">
        <f t="shared" si="30"/>
        <v>294.84343000000001</v>
      </c>
      <c r="J20" s="28">
        <f t="shared" si="30"/>
        <v>1622.1555399999997</v>
      </c>
      <c r="K20" s="28">
        <f t="shared" si="30"/>
        <v>1372</v>
      </c>
      <c r="L20" s="28">
        <f t="shared" si="30"/>
        <v>1303.5999999999999</v>
      </c>
      <c r="M20" s="28">
        <f t="shared" si="30"/>
        <v>1307.82341</v>
      </c>
      <c r="N20" s="28">
        <f t="shared" si="30"/>
        <v>1307.82341</v>
      </c>
      <c r="O20" s="28">
        <f t="shared" si="30"/>
        <v>1432</v>
      </c>
      <c r="P20" s="28">
        <f t="shared" si="30"/>
        <v>1432</v>
      </c>
      <c r="Q20" s="28">
        <f t="shared" si="30"/>
        <v>1439.85383</v>
      </c>
      <c r="R20" s="28">
        <f t="shared" si="30"/>
        <v>1439.85383</v>
      </c>
      <c r="S20" s="28">
        <f t="shared" si="30"/>
        <v>1404.3</v>
      </c>
      <c r="T20" s="28">
        <f t="shared" si="30"/>
        <v>1919.3</v>
      </c>
      <c r="U20" s="28">
        <f t="shared" si="30"/>
        <v>2094.9427799999999</v>
      </c>
      <c r="V20" s="28">
        <f t="shared" si="30"/>
        <v>2094.9427799999999</v>
      </c>
      <c r="W20" s="28">
        <f t="shared" si="30"/>
        <v>1640</v>
      </c>
      <c r="X20" s="28">
        <f t="shared" si="30"/>
        <v>2637.4</v>
      </c>
      <c r="Y20" s="28">
        <f t="shared" si="30"/>
        <v>2743.0630799999999</v>
      </c>
      <c r="Z20" s="28">
        <f t="shared" si="30"/>
        <v>2743.0630799999999</v>
      </c>
      <c r="AA20" s="28">
        <f>AA27+AA21</f>
        <v>2145</v>
      </c>
      <c r="AB20" s="28">
        <f>AB27+AB21</f>
        <v>2000.5</v>
      </c>
      <c r="AC20" s="28">
        <f>AC27+AC21</f>
        <v>2248.0550400000002</v>
      </c>
      <c r="AD20" s="28">
        <f>AD27+AD21</f>
        <v>5043.58529</v>
      </c>
      <c r="AE20" s="28">
        <f t="shared" si="30"/>
        <v>1880</v>
      </c>
      <c r="AF20" s="28">
        <f t="shared" si="30"/>
        <v>2682</v>
      </c>
      <c r="AG20" s="28">
        <f>AG27+AG21</f>
        <v>2899.1558699999996</v>
      </c>
      <c r="AH20" s="28">
        <f>AH27+AH21</f>
        <v>3329.91626</v>
      </c>
      <c r="AI20" s="28">
        <f t="shared" ref="AI20:AS20" si="31">AI27+AI21+AI24</f>
        <v>2312.9</v>
      </c>
      <c r="AJ20" s="28">
        <f t="shared" si="31"/>
        <v>2352.9</v>
      </c>
      <c r="AK20" s="28">
        <f t="shared" si="31"/>
        <v>2392.9</v>
      </c>
      <c r="AL20" s="28">
        <f t="shared" si="31"/>
        <v>2834.9</v>
      </c>
      <c r="AM20" s="28">
        <f t="shared" si="31"/>
        <v>3128.5472700000005</v>
      </c>
      <c r="AN20" s="28">
        <f t="shared" si="31"/>
        <v>3014.0854300000005</v>
      </c>
      <c r="AO20" s="28">
        <f t="shared" si="31"/>
        <v>2202.9</v>
      </c>
      <c r="AP20" s="28">
        <f t="shared" si="31"/>
        <v>2232.9</v>
      </c>
      <c r="AQ20" s="28">
        <f t="shared" si="31"/>
        <v>2262.9</v>
      </c>
      <c r="AR20" s="28">
        <f t="shared" si="31"/>
        <v>2452.9</v>
      </c>
      <c r="AS20" s="28">
        <f t="shared" si="31"/>
        <v>3892.9</v>
      </c>
      <c r="AT20" s="28">
        <f>AT27+AT21+AT24</f>
        <v>4333.6438699999999</v>
      </c>
      <c r="AU20" s="28">
        <f>AU27+AU21+AU24</f>
        <v>3934.1298700000002</v>
      </c>
      <c r="AV20" s="28">
        <f>AV27+AV21+AV24</f>
        <v>2670</v>
      </c>
      <c r="AW20" s="28">
        <f>AW27+AW21+AW24</f>
        <v>2750</v>
      </c>
      <c r="AX20" s="28">
        <f>AX27+AX21+AX24</f>
        <v>2850</v>
      </c>
      <c r="AY20" s="28">
        <f t="shared" ref="AY20:AZ20" si="32">AY27+AY21+AY24</f>
        <v>2670</v>
      </c>
      <c r="AZ20" s="28">
        <f t="shared" si="32"/>
        <v>2670</v>
      </c>
      <c r="BA20" s="29">
        <v>2670</v>
      </c>
      <c r="BB20" s="29">
        <v>2670</v>
      </c>
      <c r="BC20" s="29">
        <f>BC27+BC21+BC24</f>
        <v>4290</v>
      </c>
      <c r="BD20" s="30">
        <f t="shared" si="9"/>
        <v>1620</v>
      </c>
      <c r="BE20" s="30">
        <f t="shared" si="10"/>
        <v>160.67415730337078</v>
      </c>
      <c r="BF20" s="29">
        <f>BF27+BF21+BF24</f>
        <v>4432.57233</v>
      </c>
      <c r="BG20" s="29">
        <f>BG27+BG21+BG24</f>
        <v>5412.6657499999992</v>
      </c>
      <c r="BH20" s="30">
        <f t="shared" si="11"/>
        <v>102.28280087076007</v>
      </c>
      <c r="BI20" s="30">
        <f t="shared" si="12"/>
        <v>166.01394494382023</v>
      </c>
      <c r="BJ20" s="30">
        <f t="shared" si="13"/>
        <v>103.32336433566434</v>
      </c>
      <c r="BK20" s="28">
        <f>BK27+BK21+BK24</f>
        <v>3023</v>
      </c>
      <c r="BL20" s="31">
        <f t="shared" si="15"/>
        <v>68.199676732629882</v>
      </c>
      <c r="BM20" s="31">
        <f t="shared" si="16"/>
        <v>109.92727272727272</v>
      </c>
      <c r="BN20" s="28">
        <f>BN27+BN21+BN24</f>
        <v>3095</v>
      </c>
      <c r="BO20" s="31">
        <f t="shared" si="17"/>
        <v>102.38173999338404</v>
      </c>
      <c r="BP20" s="31">
        <f t="shared" si="18"/>
        <v>108.59649122807018</v>
      </c>
      <c r="BQ20" s="28">
        <f>BQ27+BQ21+BQ24</f>
        <v>3210</v>
      </c>
      <c r="BR20" s="31">
        <f t="shared" si="19"/>
        <v>103.71567043618739</v>
      </c>
    </row>
    <row r="21" spans="1:70" ht="24.75" customHeight="1" x14ac:dyDescent="0.3">
      <c r="A21" s="26" t="s">
        <v>100</v>
      </c>
      <c r="B21" s="27" t="s">
        <v>101</v>
      </c>
      <c r="C21" s="28">
        <f t="shared" ref="C21:AL21" si="33">C22</f>
        <v>147.18917399999998</v>
      </c>
      <c r="D21" s="28">
        <f t="shared" si="33"/>
        <v>300</v>
      </c>
      <c r="E21" s="28">
        <f t="shared" si="33"/>
        <v>300</v>
      </c>
      <c r="F21" s="28">
        <f t="shared" si="33"/>
        <v>505.34069</v>
      </c>
      <c r="G21" s="28">
        <f t="shared" si="33"/>
        <v>284</v>
      </c>
      <c r="H21" s="28">
        <f t="shared" si="33"/>
        <v>463.8</v>
      </c>
      <c r="I21" s="28">
        <f t="shared" si="33"/>
        <v>47.903509999999997</v>
      </c>
      <c r="J21" s="28">
        <f t="shared" si="33"/>
        <v>494.59082999999998</v>
      </c>
      <c r="K21" s="28">
        <f t="shared" si="33"/>
        <v>515</v>
      </c>
      <c r="L21" s="28">
        <f t="shared" si="33"/>
        <v>524</v>
      </c>
      <c r="M21" s="28">
        <f>M22</f>
        <v>527.34837000000005</v>
      </c>
      <c r="N21" s="28">
        <f>N22</f>
        <v>527.34837000000005</v>
      </c>
      <c r="O21" s="28">
        <f t="shared" si="33"/>
        <v>530</v>
      </c>
      <c r="P21" s="28">
        <f t="shared" si="33"/>
        <v>530</v>
      </c>
      <c r="Q21" s="28">
        <f>Q22</f>
        <v>519.85847000000001</v>
      </c>
      <c r="R21" s="28">
        <f>R22</f>
        <v>519.85847000000001</v>
      </c>
      <c r="S21" s="28">
        <f t="shared" si="33"/>
        <v>502.3</v>
      </c>
      <c r="T21" s="28">
        <f t="shared" si="33"/>
        <v>419.3</v>
      </c>
      <c r="U21" s="28">
        <f>U22</f>
        <v>467.88101</v>
      </c>
      <c r="V21" s="28">
        <f>V22</f>
        <v>467.88101</v>
      </c>
      <c r="W21" s="28">
        <f t="shared" si="33"/>
        <v>540</v>
      </c>
      <c r="X21" s="28">
        <f t="shared" si="33"/>
        <v>684.4</v>
      </c>
      <c r="Y21" s="28">
        <f>Y22</f>
        <v>755.37068999999997</v>
      </c>
      <c r="Z21" s="28">
        <f>Z22</f>
        <v>755.37068999999997</v>
      </c>
      <c r="AA21" s="28">
        <f t="shared" si="33"/>
        <v>525</v>
      </c>
      <c r="AB21" s="28">
        <f t="shared" si="33"/>
        <v>801.5</v>
      </c>
      <c r="AC21" s="28">
        <f>AC22</f>
        <v>896.55367999999999</v>
      </c>
      <c r="AD21" s="28">
        <f>AD22</f>
        <v>2192.0364199999999</v>
      </c>
      <c r="AE21" s="28">
        <f t="shared" si="33"/>
        <v>730</v>
      </c>
      <c r="AF21" s="28">
        <f t="shared" si="33"/>
        <v>1185</v>
      </c>
      <c r="AG21" s="28">
        <f t="shared" si="33"/>
        <v>1313.3731399999999</v>
      </c>
      <c r="AH21" s="28">
        <f t="shared" si="33"/>
        <v>1630.22288</v>
      </c>
      <c r="AI21" s="28">
        <f t="shared" si="33"/>
        <v>790</v>
      </c>
      <c r="AJ21" s="28">
        <f t="shared" si="33"/>
        <v>800</v>
      </c>
      <c r="AK21" s="28">
        <f t="shared" si="33"/>
        <v>820</v>
      </c>
      <c r="AL21" s="28">
        <f t="shared" si="33"/>
        <v>1277</v>
      </c>
      <c r="AM21" s="28">
        <f>AM22</f>
        <v>1532.75055</v>
      </c>
      <c r="AN21" s="28">
        <f>AN22</f>
        <v>1735.0147300000001</v>
      </c>
      <c r="AO21" s="28">
        <f t="shared" ref="AO21:AR21" si="34">AO22</f>
        <v>850</v>
      </c>
      <c r="AP21" s="28">
        <f t="shared" si="34"/>
        <v>870</v>
      </c>
      <c r="AQ21" s="28">
        <f t="shared" si="34"/>
        <v>890</v>
      </c>
      <c r="AR21" s="28">
        <f t="shared" si="34"/>
        <v>1100</v>
      </c>
      <c r="AS21" s="28">
        <f>AS22</f>
        <v>2000</v>
      </c>
      <c r="AT21" s="28">
        <f>AT22</f>
        <v>2326.0522000000001</v>
      </c>
      <c r="AU21" s="28">
        <f>AU22</f>
        <v>2247.68741</v>
      </c>
      <c r="AV21" s="28">
        <f>AV22</f>
        <v>1250</v>
      </c>
      <c r="AW21" s="28">
        <f>AW22</f>
        <v>1300</v>
      </c>
      <c r="AX21" s="28">
        <f t="shared" ref="AX21" si="35">AX22</f>
        <v>1350</v>
      </c>
      <c r="AY21" s="28">
        <v>1250</v>
      </c>
      <c r="AZ21" s="28">
        <v>1250</v>
      </c>
      <c r="BA21" s="29">
        <v>1250</v>
      </c>
      <c r="BB21" s="29">
        <v>1250</v>
      </c>
      <c r="BC21" s="29">
        <f>BC22</f>
        <v>2870</v>
      </c>
      <c r="BD21" s="30">
        <f t="shared" si="9"/>
        <v>1620</v>
      </c>
      <c r="BE21" s="30">
        <f t="shared" si="10"/>
        <v>229.6</v>
      </c>
      <c r="BF21" s="29">
        <f>BF22</f>
        <v>2933.6124100000002</v>
      </c>
      <c r="BG21" s="29">
        <f>BG22</f>
        <v>3550.00927</v>
      </c>
      <c r="BH21" s="30">
        <f t="shared" si="11"/>
        <v>126.11980118073016</v>
      </c>
      <c r="BI21" s="30">
        <f t="shared" si="12"/>
        <v>234.68899279999999</v>
      </c>
      <c r="BJ21" s="30">
        <f t="shared" si="13"/>
        <v>102.21646027874564</v>
      </c>
      <c r="BK21" s="28">
        <f>BK22</f>
        <v>1500</v>
      </c>
      <c r="BL21" s="31">
        <f t="shared" si="15"/>
        <v>51.131498997169835</v>
      </c>
      <c r="BM21" s="31">
        <f t="shared" si="16"/>
        <v>115.38461538461537</v>
      </c>
      <c r="BN21" s="28">
        <f>BN22</f>
        <v>1540</v>
      </c>
      <c r="BO21" s="31">
        <f t="shared" si="17"/>
        <v>102.66666666666666</v>
      </c>
      <c r="BP21" s="31">
        <f t="shared" si="18"/>
        <v>114.07407407407408</v>
      </c>
      <c r="BQ21" s="28">
        <f t="shared" ref="BQ21" si="36">BQ22</f>
        <v>1600</v>
      </c>
      <c r="BR21" s="31">
        <f t="shared" si="19"/>
        <v>103.89610389610388</v>
      </c>
    </row>
    <row r="22" spans="1:70" ht="27.75" hidden="1" customHeight="1" x14ac:dyDescent="0.3">
      <c r="A22" s="19" t="s">
        <v>102</v>
      </c>
      <c r="B22" s="46" t="s">
        <v>103</v>
      </c>
      <c r="C22" s="31">
        <f>136.58682+10.602354</f>
        <v>147.18917399999998</v>
      </c>
      <c r="D22" s="31">
        <v>300</v>
      </c>
      <c r="E22" s="31">
        <v>300</v>
      </c>
      <c r="F22" s="31">
        <f>493.02413+12.31656</f>
        <v>505.34069</v>
      </c>
      <c r="G22" s="31">
        <v>284</v>
      </c>
      <c r="H22" s="31">
        <v>463.8</v>
      </c>
      <c r="I22" s="31">
        <v>47.903509999999997</v>
      </c>
      <c r="J22" s="31">
        <f>485.66265+8.92818</f>
        <v>494.59082999999998</v>
      </c>
      <c r="K22" s="31">
        <v>515</v>
      </c>
      <c r="L22" s="31">
        <v>524</v>
      </c>
      <c r="M22" s="31">
        <v>527.34837000000005</v>
      </c>
      <c r="N22" s="31">
        <v>527.34837000000005</v>
      </c>
      <c r="O22" s="31">
        <v>530</v>
      </c>
      <c r="P22" s="31">
        <v>530</v>
      </c>
      <c r="Q22" s="31">
        <v>519.85847000000001</v>
      </c>
      <c r="R22" s="31">
        <v>519.85847000000001</v>
      </c>
      <c r="S22" s="31">
        <v>502.3</v>
      </c>
      <c r="T22" s="31">
        <v>419.3</v>
      </c>
      <c r="U22" s="31">
        <f>450.10829+17.77016+2.56/1000</f>
        <v>467.88101</v>
      </c>
      <c r="V22" s="31">
        <v>467.88101</v>
      </c>
      <c r="W22" s="31">
        <v>540</v>
      </c>
      <c r="X22" s="31">
        <v>684.4</v>
      </c>
      <c r="Y22" s="31">
        <f>728.42556+26.94769-2.56/1000</f>
        <v>755.37068999999997</v>
      </c>
      <c r="Z22" s="31">
        <f>755.37325-2.56/1000</f>
        <v>755.37068999999997</v>
      </c>
      <c r="AA22" s="31">
        <v>525</v>
      </c>
      <c r="AB22" s="31">
        <v>801.5</v>
      </c>
      <c r="AC22" s="31">
        <v>896.55367999999999</v>
      </c>
      <c r="AD22" s="31">
        <f>896.55368+1264.04893+31.43381</f>
        <v>2192.0364199999999</v>
      </c>
      <c r="AE22" s="31">
        <v>730</v>
      </c>
      <c r="AF22" s="31">
        <v>1185</v>
      </c>
      <c r="AG22" s="31">
        <v>1313.3731399999999</v>
      </c>
      <c r="AH22" s="31">
        <v>1630.22288</v>
      </c>
      <c r="AI22" s="31">
        <v>790</v>
      </c>
      <c r="AJ22" s="31">
        <v>800</v>
      </c>
      <c r="AK22" s="31">
        <v>820</v>
      </c>
      <c r="AL22" s="31">
        <v>1277</v>
      </c>
      <c r="AM22" s="31">
        <v>1532.75055</v>
      </c>
      <c r="AN22" s="31">
        <v>1735.0147300000001</v>
      </c>
      <c r="AO22" s="31">
        <v>850</v>
      </c>
      <c r="AP22" s="31">
        <v>870</v>
      </c>
      <c r="AQ22" s="31">
        <v>890</v>
      </c>
      <c r="AR22" s="31">
        <v>1100</v>
      </c>
      <c r="AS22" s="31">
        <v>2000</v>
      </c>
      <c r="AT22" s="31">
        <v>2326.0522000000001</v>
      </c>
      <c r="AU22" s="31">
        <v>2247.68741</v>
      </c>
      <c r="AV22" s="31">
        <v>1250</v>
      </c>
      <c r="AW22" s="31">
        <v>1300</v>
      </c>
      <c r="AX22" s="31">
        <v>1350</v>
      </c>
      <c r="AY22" s="31"/>
      <c r="AZ22" s="31"/>
      <c r="BA22" s="30"/>
      <c r="BB22" s="30">
        <v>1250</v>
      </c>
      <c r="BC22" s="30">
        <v>2870</v>
      </c>
      <c r="BD22" s="30">
        <f t="shared" si="9"/>
        <v>1620</v>
      </c>
      <c r="BE22" s="30">
        <f t="shared" si="10"/>
        <v>229.6</v>
      </c>
      <c r="BF22" s="30">
        <f>2914.32875+19.28366</f>
        <v>2933.6124100000002</v>
      </c>
      <c r="BG22" s="30">
        <f>3498.08055+51.92872</f>
        <v>3550.00927</v>
      </c>
      <c r="BH22" s="30">
        <f t="shared" si="11"/>
        <v>126.11980118073016</v>
      </c>
      <c r="BI22" s="30">
        <f t="shared" si="12"/>
        <v>234.68899279999999</v>
      </c>
      <c r="BJ22" s="30">
        <f t="shared" si="13"/>
        <v>102.21646027874564</v>
      </c>
      <c r="BK22" s="31">
        <v>1500</v>
      </c>
      <c r="BL22" s="31">
        <f t="shared" si="15"/>
        <v>51.131498997169835</v>
      </c>
      <c r="BM22" s="31">
        <f t="shared" si="16"/>
        <v>115.38461538461537</v>
      </c>
      <c r="BN22" s="31">
        <v>1540</v>
      </c>
      <c r="BO22" s="31">
        <f t="shared" si="17"/>
        <v>102.66666666666666</v>
      </c>
      <c r="BP22" s="31">
        <f t="shared" si="18"/>
        <v>114.07407407407408</v>
      </c>
      <c r="BQ22" s="31">
        <v>1600</v>
      </c>
      <c r="BR22" s="31">
        <f t="shared" si="19"/>
        <v>103.89610389610388</v>
      </c>
    </row>
    <row r="23" spans="1:70" ht="27.75" hidden="1" customHeight="1" x14ac:dyDescent="0.3">
      <c r="A23" s="19"/>
      <c r="B23" s="46" t="s">
        <v>104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>
        <f>-207.88811-84.4168</f>
        <v>-292.30491000000001</v>
      </c>
      <c r="AE23" s="31"/>
      <c r="AF23" s="31"/>
      <c r="AG23" s="31"/>
      <c r="AH23" s="31">
        <v>-129.74106</v>
      </c>
      <c r="AI23" s="31"/>
      <c r="AJ23" s="31"/>
      <c r="AK23" s="31"/>
      <c r="AL23" s="31"/>
      <c r="AM23" s="31"/>
      <c r="AN23" s="31">
        <f>-20.31603-3.92955</f>
        <v>-24.24558</v>
      </c>
      <c r="AO23" s="31"/>
      <c r="AP23" s="31"/>
      <c r="AQ23" s="31"/>
      <c r="AR23" s="31"/>
      <c r="AS23" s="31"/>
      <c r="AT23" s="31"/>
      <c r="AU23" s="31">
        <v>-47.016419999999997</v>
      </c>
      <c r="AV23" s="31"/>
      <c r="AW23" s="31"/>
      <c r="AX23" s="31"/>
      <c r="AY23" s="31"/>
      <c r="AZ23" s="31"/>
      <c r="BA23" s="30"/>
      <c r="BB23" s="30"/>
      <c r="BC23" s="30"/>
      <c r="BD23" s="30">
        <f t="shared" si="9"/>
        <v>0</v>
      </c>
      <c r="BE23" s="30" t="e">
        <f t="shared" si="10"/>
        <v>#DIV/0!</v>
      </c>
      <c r="BF23" s="30"/>
      <c r="BG23" s="30">
        <f>-98.28083-21.02049</f>
        <v>-119.30131999999999</v>
      </c>
      <c r="BH23" s="30" t="e">
        <f t="shared" si="11"/>
        <v>#DIV/0!</v>
      </c>
      <c r="BI23" s="30" t="e">
        <f t="shared" si="12"/>
        <v>#DIV/0!</v>
      </c>
      <c r="BJ23" s="30" t="e">
        <f t="shared" si="13"/>
        <v>#DIV/0!</v>
      </c>
      <c r="BK23" s="31"/>
      <c r="BL23" s="31" t="e">
        <f t="shared" si="15"/>
        <v>#DIV/0!</v>
      </c>
      <c r="BM23" s="31" t="e">
        <f t="shared" si="16"/>
        <v>#DIV/0!</v>
      </c>
      <c r="BN23" s="31"/>
      <c r="BO23" s="31" t="e">
        <f t="shared" si="17"/>
        <v>#DIV/0!</v>
      </c>
      <c r="BP23" s="31" t="e">
        <f t="shared" si="18"/>
        <v>#DIV/0!</v>
      </c>
      <c r="BQ23" s="31"/>
      <c r="BR23" s="31" t="e">
        <f t="shared" si="19"/>
        <v>#DIV/0!</v>
      </c>
    </row>
    <row r="24" spans="1:70" ht="22.5" customHeight="1" x14ac:dyDescent="0.3">
      <c r="A24" s="26" t="s">
        <v>105</v>
      </c>
      <c r="B24" s="27" t="s">
        <v>106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28">
        <f t="shared" ref="AI24:AS24" si="37">AI25+AI26</f>
        <v>202.9</v>
      </c>
      <c r="AJ24" s="28">
        <f t="shared" si="37"/>
        <v>202.9</v>
      </c>
      <c r="AK24" s="28">
        <f t="shared" si="37"/>
        <v>202.9</v>
      </c>
      <c r="AL24" s="28">
        <f t="shared" si="37"/>
        <v>202.9</v>
      </c>
      <c r="AM24" s="28">
        <f t="shared" si="37"/>
        <v>208.40961000000001</v>
      </c>
      <c r="AN24" s="28">
        <f t="shared" si="37"/>
        <v>208.40961000000001</v>
      </c>
      <c r="AO24" s="28">
        <f t="shared" si="37"/>
        <v>202.9</v>
      </c>
      <c r="AP24" s="28">
        <f t="shared" si="37"/>
        <v>202.9</v>
      </c>
      <c r="AQ24" s="28">
        <f t="shared" si="37"/>
        <v>202.9</v>
      </c>
      <c r="AR24" s="28">
        <f t="shared" si="37"/>
        <v>202.9</v>
      </c>
      <c r="AS24" s="28">
        <f t="shared" si="37"/>
        <v>202.9</v>
      </c>
      <c r="AT24" s="28">
        <f>AT25+AT26</f>
        <v>228.49429000000001</v>
      </c>
      <c r="AU24" s="28">
        <f>AU25+AU26</f>
        <v>228.49429000000001</v>
      </c>
      <c r="AV24" s="28">
        <f>AV25+AV26</f>
        <v>200</v>
      </c>
      <c r="AW24" s="28">
        <f>AW25+AW26</f>
        <v>200</v>
      </c>
      <c r="AX24" s="28">
        <v>200</v>
      </c>
      <c r="AY24" s="28">
        <v>200</v>
      </c>
      <c r="AZ24" s="28">
        <v>200</v>
      </c>
      <c r="BA24" s="29">
        <v>200</v>
      </c>
      <c r="BB24" s="29">
        <v>200</v>
      </c>
      <c r="BC24" s="29">
        <f>BC25+BC26</f>
        <v>200</v>
      </c>
      <c r="BD24" s="30">
        <f t="shared" si="9"/>
        <v>0</v>
      </c>
      <c r="BE24" s="30">
        <f t="shared" si="10"/>
        <v>100</v>
      </c>
      <c r="BF24" s="29">
        <f>BF25+BF26</f>
        <v>230.16980999999998</v>
      </c>
      <c r="BG24" s="29">
        <f>BG25+BG26</f>
        <v>230.16962000000001</v>
      </c>
      <c r="BH24" s="30">
        <f t="shared" si="11"/>
        <v>100.73328747077224</v>
      </c>
      <c r="BI24" s="30">
        <f t="shared" si="12"/>
        <v>115.08490499999999</v>
      </c>
      <c r="BJ24" s="30">
        <f t="shared" si="13"/>
        <v>115.08490499999999</v>
      </c>
      <c r="BK24" s="28">
        <f>BK25+BK26</f>
        <v>203</v>
      </c>
      <c r="BL24" s="31">
        <f t="shared" si="15"/>
        <v>88.195754256390103</v>
      </c>
      <c r="BM24" s="31">
        <f t="shared" si="16"/>
        <v>101.49999999999999</v>
      </c>
      <c r="BN24" s="28">
        <f>BN25+BN26</f>
        <v>205</v>
      </c>
      <c r="BO24" s="31">
        <f t="shared" si="17"/>
        <v>100.98522167487684</v>
      </c>
      <c r="BP24" s="31">
        <f t="shared" si="18"/>
        <v>102.49999999999999</v>
      </c>
      <c r="BQ24" s="28">
        <f>BQ25+BQ26</f>
        <v>210</v>
      </c>
      <c r="BR24" s="31">
        <f t="shared" si="19"/>
        <v>102.4390243902439</v>
      </c>
    </row>
    <row r="25" spans="1:70" ht="27.75" hidden="1" customHeight="1" x14ac:dyDescent="0.3">
      <c r="A25" s="19" t="s">
        <v>107</v>
      </c>
      <c r="B25" s="47" t="s">
        <v>108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>
        <v>39.5</v>
      </c>
      <c r="AJ25" s="31">
        <v>39.5</v>
      </c>
      <c r="AK25" s="31">
        <v>39.5</v>
      </c>
      <c r="AL25" s="31">
        <v>39.5</v>
      </c>
      <c r="AM25" s="31">
        <v>30.413519999999998</v>
      </c>
      <c r="AN25" s="31">
        <v>30.413519999999998</v>
      </c>
      <c r="AO25" s="31">
        <v>39.5</v>
      </c>
      <c r="AP25" s="31">
        <v>39.5</v>
      </c>
      <c r="AQ25" s="31">
        <v>39.5</v>
      </c>
      <c r="AR25" s="31">
        <v>39.5</v>
      </c>
      <c r="AS25" s="31">
        <v>39.5</v>
      </c>
      <c r="AT25" s="31">
        <v>33.084600000000002</v>
      </c>
      <c r="AU25" s="31">
        <v>33.084600000000002</v>
      </c>
      <c r="AV25" s="31">
        <v>40</v>
      </c>
      <c r="AW25" s="31">
        <v>40</v>
      </c>
      <c r="AX25" s="31">
        <v>40</v>
      </c>
      <c r="AY25" s="31"/>
      <c r="AZ25" s="31"/>
      <c r="BA25" s="30"/>
      <c r="BB25" s="30">
        <v>40</v>
      </c>
      <c r="BC25" s="30">
        <v>40</v>
      </c>
      <c r="BD25" s="30">
        <f t="shared" si="9"/>
        <v>0</v>
      </c>
      <c r="BE25" s="30">
        <f t="shared" si="10"/>
        <v>100</v>
      </c>
      <c r="BF25" s="30">
        <v>42.343449999999997</v>
      </c>
      <c r="BG25" s="30">
        <f>39.81826+2.52519</f>
        <v>42.343450000000004</v>
      </c>
      <c r="BH25" s="30">
        <f t="shared" si="11"/>
        <v>127.98537688229568</v>
      </c>
      <c r="BI25" s="30">
        <f t="shared" si="12"/>
        <v>105.85862499999999</v>
      </c>
      <c r="BJ25" s="30">
        <f t="shared" si="13"/>
        <v>105.85862499999999</v>
      </c>
      <c r="BK25" s="31">
        <v>43</v>
      </c>
      <c r="BL25" s="31">
        <f t="shared" si="15"/>
        <v>101.55053497057986</v>
      </c>
      <c r="BM25" s="31">
        <f t="shared" si="16"/>
        <v>107.5</v>
      </c>
      <c r="BN25" s="31">
        <v>45</v>
      </c>
      <c r="BO25" s="31">
        <f t="shared" si="17"/>
        <v>104.65116279069768</v>
      </c>
      <c r="BP25" s="31">
        <f t="shared" si="18"/>
        <v>112.5</v>
      </c>
      <c r="BQ25" s="31">
        <v>50</v>
      </c>
      <c r="BR25" s="31">
        <f t="shared" si="19"/>
        <v>111.11111111111111</v>
      </c>
    </row>
    <row r="26" spans="1:70" ht="27.75" hidden="1" customHeight="1" x14ac:dyDescent="0.3">
      <c r="A26" s="19" t="s">
        <v>109</v>
      </c>
      <c r="B26" s="46" t="s">
        <v>110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>
        <v>163.4</v>
      </c>
      <c r="AJ26" s="31">
        <v>163.4</v>
      </c>
      <c r="AK26" s="31">
        <v>163.4</v>
      </c>
      <c r="AL26" s="31">
        <v>163.4</v>
      </c>
      <c r="AM26" s="31">
        <v>177.99609000000001</v>
      </c>
      <c r="AN26" s="31">
        <v>177.99609000000001</v>
      </c>
      <c r="AO26" s="31">
        <v>163.4</v>
      </c>
      <c r="AP26" s="31">
        <v>163.4</v>
      </c>
      <c r="AQ26" s="31">
        <v>163.4</v>
      </c>
      <c r="AR26" s="31">
        <v>163.4</v>
      </c>
      <c r="AS26" s="31">
        <v>163.4</v>
      </c>
      <c r="AT26" s="31">
        <v>195.40969000000001</v>
      </c>
      <c r="AU26" s="31">
        <v>195.40969000000001</v>
      </c>
      <c r="AV26" s="31">
        <v>160</v>
      </c>
      <c r="AW26" s="31">
        <v>160</v>
      </c>
      <c r="AX26" s="31">
        <v>160</v>
      </c>
      <c r="AY26" s="31"/>
      <c r="AZ26" s="31"/>
      <c r="BA26" s="30"/>
      <c r="BB26" s="30">
        <v>160</v>
      </c>
      <c r="BC26" s="30">
        <v>160</v>
      </c>
      <c r="BD26" s="30">
        <f t="shared" si="9"/>
        <v>0</v>
      </c>
      <c r="BE26" s="30">
        <f t="shared" si="10"/>
        <v>100</v>
      </c>
      <c r="BF26" s="30">
        <v>187.82635999999999</v>
      </c>
      <c r="BG26" s="30">
        <f>182.98717+4.839</f>
        <v>187.82616999999999</v>
      </c>
      <c r="BH26" s="30">
        <f t="shared" si="11"/>
        <v>96.119266142840715</v>
      </c>
      <c r="BI26" s="30">
        <f t="shared" si="12"/>
        <v>117.391475</v>
      </c>
      <c r="BJ26" s="30">
        <f t="shared" si="13"/>
        <v>117.391475</v>
      </c>
      <c r="BK26" s="31">
        <v>160</v>
      </c>
      <c r="BL26" s="31">
        <f t="shared" si="15"/>
        <v>85.185061351346008</v>
      </c>
      <c r="BM26" s="31">
        <f t="shared" si="16"/>
        <v>100</v>
      </c>
      <c r="BN26" s="31">
        <v>160</v>
      </c>
      <c r="BO26" s="31">
        <f t="shared" si="17"/>
        <v>100</v>
      </c>
      <c r="BP26" s="31">
        <f t="shared" si="18"/>
        <v>100</v>
      </c>
      <c r="BQ26" s="31">
        <v>160</v>
      </c>
      <c r="BR26" s="31">
        <f t="shared" si="19"/>
        <v>100</v>
      </c>
    </row>
    <row r="27" spans="1:70" ht="23.25" customHeight="1" x14ac:dyDescent="0.3">
      <c r="A27" s="26" t="s">
        <v>111</v>
      </c>
      <c r="B27" s="27" t="s">
        <v>112</v>
      </c>
      <c r="C27" s="28">
        <f t="shared" ref="C27:AL27" si="38">C28+C29</f>
        <v>2676.66086</v>
      </c>
      <c r="D27" s="28">
        <f t="shared" si="38"/>
        <v>491</v>
      </c>
      <c r="E27" s="28">
        <f t="shared" si="38"/>
        <v>899</v>
      </c>
      <c r="F27" s="28">
        <f t="shared" si="38"/>
        <v>1002.3123099999999</v>
      </c>
      <c r="G27" s="28">
        <f t="shared" si="38"/>
        <v>589</v>
      </c>
      <c r="H27" s="28">
        <f t="shared" si="38"/>
        <v>1016.6</v>
      </c>
      <c r="I27" s="28">
        <f t="shared" si="38"/>
        <v>246.93992</v>
      </c>
      <c r="J27" s="28">
        <f t="shared" si="38"/>
        <v>1127.5647099999999</v>
      </c>
      <c r="K27" s="28">
        <f t="shared" si="38"/>
        <v>857</v>
      </c>
      <c r="L27" s="28">
        <f t="shared" si="38"/>
        <v>779.6</v>
      </c>
      <c r="M27" s="28">
        <f t="shared" si="38"/>
        <v>780.47503999999992</v>
      </c>
      <c r="N27" s="28">
        <f t="shared" si="38"/>
        <v>780.47503999999992</v>
      </c>
      <c r="O27" s="28">
        <f t="shared" si="38"/>
        <v>902</v>
      </c>
      <c r="P27" s="28">
        <f t="shared" si="38"/>
        <v>902</v>
      </c>
      <c r="Q27" s="28">
        <f t="shared" si="38"/>
        <v>919.99536000000001</v>
      </c>
      <c r="R27" s="28">
        <f t="shared" si="38"/>
        <v>919.99536000000001</v>
      </c>
      <c r="S27" s="28">
        <f t="shared" si="38"/>
        <v>902</v>
      </c>
      <c r="T27" s="28">
        <f t="shared" si="38"/>
        <v>1500</v>
      </c>
      <c r="U27" s="28">
        <f t="shared" si="38"/>
        <v>1627.06177</v>
      </c>
      <c r="V27" s="28">
        <f t="shared" si="38"/>
        <v>1627.06177</v>
      </c>
      <c r="W27" s="28">
        <f t="shared" si="38"/>
        <v>1100</v>
      </c>
      <c r="X27" s="28">
        <f t="shared" si="38"/>
        <v>1953</v>
      </c>
      <c r="Y27" s="28">
        <f t="shared" si="38"/>
        <v>1987.6923899999999</v>
      </c>
      <c r="Z27" s="28">
        <f t="shared" si="38"/>
        <v>1987.6923899999999</v>
      </c>
      <c r="AA27" s="28">
        <f>AA28+AA29</f>
        <v>1620</v>
      </c>
      <c r="AB27" s="28">
        <f>AB28+AB29</f>
        <v>1199</v>
      </c>
      <c r="AC27" s="28">
        <f>AC28+AC29</f>
        <v>1351.50136</v>
      </c>
      <c r="AD27" s="28">
        <f>AD28+AD29</f>
        <v>2851.5488700000001</v>
      </c>
      <c r="AE27" s="28">
        <f t="shared" si="38"/>
        <v>1150</v>
      </c>
      <c r="AF27" s="28">
        <f t="shared" si="38"/>
        <v>1497</v>
      </c>
      <c r="AG27" s="28">
        <f t="shared" si="38"/>
        <v>1585.7827299999999</v>
      </c>
      <c r="AH27" s="28">
        <f t="shared" si="38"/>
        <v>1699.6933799999999</v>
      </c>
      <c r="AI27" s="28">
        <f t="shared" si="38"/>
        <v>1320</v>
      </c>
      <c r="AJ27" s="28">
        <f t="shared" si="38"/>
        <v>1350</v>
      </c>
      <c r="AK27" s="28">
        <f t="shared" si="38"/>
        <v>1370</v>
      </c>
      <c r="AL27" s="28">
        <f t="shared" si="38"/>
        <v>1355</v>
      </c>
      <c r="AM27" s="28">
        <f>AM28+AM29</f>
        <v>1387.3871100000001</v>
      </c>
      <c r="AN27" s="28">
        <f>AN28+AN29</f>
        <v>1070.6610900000001</v>
      </c>
      <c r="AO27" s="28">
        <f t="shared" ref="AO27:AR27" si="39">AO28+AO29</f>
        <v>1150</v>
      </c>
      <c r="AP27" s="28">
        <f t="shared" si="39"/>
        <v>1160</v>
      </c>
      <c r="AQ27" s="28">
        <f t="shared" si="39"/>
        <v>1170</v>
      </c>
      <c r="AR27" s="28">
        <f t="shared" si="39"/>
        <v>1150</v>
      </c>
      <c r="AS27" s="28">
        <f>AS28+AS29</f>
        <v>1690</v>
      </c>
      <c r="AT27" s="28">
        <f>AT28+AT29</f>
        <v>1779.0973799999999</v>
      </c>
      <c r="AU27" s="28">
        <f>AU28+AU29</f>
        <v>1457.9481700000001</v>
      </c>
      <c r="AV27" s="28">
        <f t="shared" ref="AV27:AX27" si="40">AV28+AV29</f>
        <v>1220</v>
      </c>
      <c r="AW27" s="28">
        <f t="shared" si="40"/>
        <v>1250</v>
      </c>
      <c r="AX27" s="28">
        <f t="shared" si="40"/>
        <v>1300</v>
      </c>
      <c r="AY27" s="28">
        <v>1220</v>
      </c>
      <c r="AZ27" s="28">
        <v>1220</v>
      </c>
      <c r="BA27" s="29">
        <v>1220</v>
      </c>
      <c r="BB27" s="29">
        <f>SUM(BB28:BB29)</f>
        <v>1220</v>
      </c>
      <c r="BC27" s="29">
        <f>SUM(BC28:BC29)</f>
        <v>1220</v>
      </c>
      <c r="BD27" s="30">
        <f t="shared" si="9"/>
        <v>0</v>
      </c>
      <c r="BE27" s="30">
        <f t="shared" si="10"/>
        <v>100</v>
      </c>
      <c r="BF27" s="29">
        <f t="shared" ref="BF27" si="41">BF28+BF29</f>
        <v>1268.7901099999999</v>
      </c>
      <c r="BG27" s="29">
        <f>BG28+BG29</f>
        <v>1632.48686</v>
      </c>
      <c r="BH27" s="30">
        <f t="shared" si="11"/>
        <v>71.316507138018494</v>
      </c>
      <c r="BI27" s="30">
        <f t="shared" si="12"/>
        <v>103.99918934426229</v>
      </c>
      <c r="BJ27" s="30">
        <f t="shared" si="13"/>
        <v>103.99918934426229</v>
      </c>
      <c r="BK27" s="28">
        <f t="shared" ref="BK27:BQ27" si="42">BK28+BK29</f>
        <v>1320</v>
      </c>
      <c r="BL27" s="31">
        <f t="shared" si="15"/>
        <v>104.03611989062557</v>
      </c>
      <c r="BM27" s="31">
        <f t="shared" si="16"/>
        <v>105.60000000000001</v>
      </c>
      <c r="BN27" s="28">
        <f t="shared" si="42"/>
        <v>1350</v>
      </c>
      <c r="BO27" s="31">
        <f t="shared" si="17"/>
        <v>102.27272727272727</v>
      </c>
      <c r="BP27" s="31">
        <f t="shared" si="18"/>
        <v>103.84615384615385</v>
      </c>
      <c r="BQ27" s="28">
        <f t="shared" si="42"/>
        <v>1400</v>
      </c>
      <c r="BR27" s="31">
        <f t="shared" si="19"/>
        <v>103.7037037037037</v>
      </c>
    </row>
    <row r="28" spans="1:70" ht="27.75" hidden="1" customHeight="1" x14ac:dyDescent="0.3">
      <c r="A28" s="19" t="s">
        <v>113</v>
      </c>
      <c r="B28" s="46" t="s">
        <v>114</v>
      </c>
      <c r="C28" s="31">
        <f>32.14278+0.6554-0.14018</f>
        <v>32.658000000000001</v>
      </c>
      <c r="D28" s="31">
        <v>25</v>
      </c>
      <c r="E28" s="31">
        <v>69.400000000000006</v>
      </c>
      <c r="F28" s="31">
        <f>75.74521+0.92218</f>
        <v>76.667389999999997</v>
      </c>
      <c r="G28" s="31">
        <v>30</v>
      </c>
      <c r="H28" s="31">
        <v>81.099999999999994</v>
      </c>
      <c r="I28" s="31">
        <v>42.28295</v>
      </c>
      <c r="J28" s="31">
        <f>185.88721+1.57727+4</f>
        <v>191.46448000000001</v>
      </c>
      <c r="K28" s="31">
        <v>169</v>
      </c>
      <c r="L28" s="31">
        <v>3.2</v>
      </c>
      <c r="M28" s="31">
        <v>3.95242</v>
      </c>
      <c r="N28" s="31">
        <v>3.95242</v>
      </c>
      <c r="O28" s="31">
        <v>0</v>
      </c>
      <c r="P28" s="31">
        <v>500</v>
      </c>
      <c r="Q28" s="31">
        <v>509.56796000000003</v>
      </c>
      <c r="R28" s="31">
        <v>509.56796000000003</v>
      </c>
      <c r="S28" s="31">
        <v>500</v>
      </c>
      <c r="T28" s="31">
        <v>1100</v>
      </c>
      <c r="U28" s="31">
        <f>1155.12402+13.58697+1</f>
        <v>1169.71099</v>
      </c>
      <c r="V28" s="31">
        <v>1169.71099</v>
      </c>
      <c r="W28" s="31">
        <v>900</v>
      </c>
      <c r="X28" s="31">
        <v>1570</v>
      </c>
      <c r="Y28" s="31">
        <f>1496.408+76.88299+1</f>
        <v>1574.29099</v>
      </c>
      <c r="Z28" s="31">
        <v>1574.29099</v>
      </c>
      <c r="AA28" s="31">
        <v>1420</v>
      </c>
      <c r="AB28" s="31">
        <v>560</v>
      </c>
      <c r="AC28" s="31">
        <v>558.25513000000001</v>
      </c>
      <c r="AD28" s="31">
        <f>558.25513+792.194+83.86828+1</f>
        <v>1435.3174099999999</v>
      </c>
      <c r="AE28" s="31">
        <v>1000</v>
      </c>
      <c r="AF28" s="31">
        <v>1029</v>
      </c>
      <c r="AG28" s="31">
        <v>1028.90805</v>
      </c>
      <c r="AH28" s="31">
        <v>795.10974999999996</v>
      </c>
      <c r="AI28" s="31">
        <v>1170</v>
      </c>
      <c r="AJ28" s="31">
        <v>1180</v>
      </c>
      <c r="AK28" s="31">
        <v>1190</v>
      </c>
      <c r="AL28" s="31">
        <v>900</v>
      </c>
      <c r="AM28" s="31">
        <v>884.31173000000001</v>
      </c>
      <c r="AN28" s="31">
        <v>677.53322000000003</v>
      </c>
      <c r="AO28" s="31">
        <v>950</v>
      </c>
      <c r="AP28" s="31">
        <v>950</v>
      </c>
      <c r="AQ28" s="31">
        <v>950</v>
      </c>
      <c r="AR28" s="31">
        <v>950</v>
      </c>
      <c r="AS28" s="31">
        <v>978</v>
      </c>
      <c r="AT28" s="31">
        <v>982.92273999999998</v>
      </c>
      <c r="AU28" s="31">
        <f>959.547-9.35625</f>
        <v>950.19074999999998</v>
      </c>
      <c r="AV28" s="31">
        <v>732</v>
      </c>
      <c r="AW28" s="31">
        <v>750</v>
      </c>
      <c r="AX28" s="31">
        <v>780</v>
      </c>
      <c r="AY28" s="31"/>
      <c r="AZ28" s="31"/>
      <c r="BA28" s="30"/>
      <c r="BB28" s="30">
        <v>732</v>
      </c>
      <c r="BC28" s="30">
        <v>732</v>
      </c>
      <c r="BD28" s="30">
        <f t="shared" si="9"/>
        <v>0</v>
      </c>
      <c r="BE28" s="30">
        <f t="shared" si="10"/>
        <v>100</v>
      </c>
      <c r="BF28" s="30">
        <v>912.89410999999996</v>
      </c>
      <c r="BG28" s="30">
        <f>947.38758+14.29101</f>
        <v>961.67858999999999</v>
      </c>
      <c r="BH28" s="30">
        <f t="shared" si="11"/>
        <v>92.87546954097327</v>
      </c>
      <c r="BI28" s="30">
        <f t="shared" si="12"/>
        <v>124.7123101092896</v>
      </c>
      <c r="BJ28" s="30">
        <f t="shared" si="13"/>
        <v>124.7123101092896</v>
      </c>
      <c r="BK28" s="31">
        <v>832</v>
      </c>
      <c r="BL28" s="31">
        <f t="shared" si="15"/>
        <v>91.138719254087434</v>
      </c>
      <c r="BM28" s="31">
        <f t="shared" si="16"/>
        <v>110.93333333333332</v>
      </c>
      <c r="BN28" s="31">
        <v>850</v>
      </c>
      <c r="BO28" s="31">
        <f t="shared" si="17"/>
        <v>102.16346153846155</v>
      </c>
      <c r="BP28" s="31">
        <f t="shared" si="18"/>
        <v>108.97435897435896</v>
      </c>
      <c r="BQ28" s="31">
        <v>880</v>
      </c>
      <c r="BR28" s="31">
        <f t="shared" si="19"/>
        <v>103.5294117647059</v>
      </c>
    </row>
    <row r="29" spans="1:70" ht="27.75" hidden="1" customHeight="1" x14ac:dyDescent="0.3">
      <c r="A29" s="19" t="s">
        <v>115</v>
      </c>
      <c r="B29" s="46" t="s">
        <v>116</v>
      </c>
      <c r="C29" s="31">
        <f>2210.69508+433.50778-0.2</f>
        <v>2644.0028600000001</v>
      </c>
      <c r="D29" s="31">
        <v>466</v>
      </c>
      <c r="E29" s="31">
        <v>829.6</v>
      </c>
      <c r="F29" s="31">
        <f>914.21885+11.42607</f>
        <v>925.64491999999996</v>
      </c>
      <c r="G29" s="31">
        <v>559</v>
      </c>
      <c r="H29" s="31">
        <v>935.5</v>
      </c>
      <c r="I29" s="31">
        <v>204.65697</v>
      </c>
      <c r="J29" s="31">
        <f>909.83314+24.88757+1.37952</f>
        <v>936.1002299999999</v>
      </c>
      <c r="K29" s="31">
        <v>688</v>
      </c>
      <c r="L29" s="31">
        <v>776.4</v>
      </c>
      <c r="M29" s="31">
        <v>776.52261999999996</v>
      </c>
      <c r="N29" s="31">
        <v>776.52261999999996</v>
      </c>
      <c r="O29" s="31">
        <v>902</v>
      </c>
      <c r="P29" s="31">
        <v>402</v>
      </c>
      <c r="Q29" s="31">
        <v>410.42739999999998</v>
      </c>
      <c r="R29" s="31">
        <f>414.4274-4</f>
        <v>410.42739999999998</v>
      </c>
      <c r="S29" s="31">
        <v>402</v>
      </c>
      <c r="T29" s="31">
        <v>400</v>
      </c>
      <c r="U29" s="31">
        <f>454.41714+2.93364</f>
        <v>457.35078000000004</v>
      </c>
      <c r="V29" s="31">
        <v>457.35077999999999</v>
      </c>
      <c r="W29" s="31">
        <v>200</v>
      </c>
      <c r="X29" s="31">
        <v>383</v>
      </c>
      <c r="Y29" s="31">
        <f>409.04572+4.35568</f>
        <v>413.40140000000002</v>
      </c>
      <c r="Z29" s="31">
        <v>413.40140000000002</v>
      </c>
      <c r="AA29" s="31">
        <v>200</v>
      </c>
      <c r="AB29" s="31">
        <v>639</v>
      </c>
      <c r="AC29" s="31">
        <v>793.24622999999997</v>
      </c>
      <c r="AD29" s="31">
        <f>793.24623+594.9071+28.07813</f>
        <v>1416.2314600000002</v>
      </c>
      <c r="AE29" s="31">
        <v>150</v>
      </c>
      <c r="AF29" s="31">
        <v>468</v>
      </c>
      <c r="AG29" s="31">
        <v>556.87468000000001</v>
      </c>
      <c r="AH29" s="31">
        <v>904.58362999999997</v>
      </c>
      <c r="AI29" s="31">
        <v>150</v>
      </c>
      <c r="AJ29" s="31">
        <v>170</v>
      </c>
      <c r="AK29" s="31">
        <v>180</v>
      </c>
      <c r="AL29" s="31">
        <v>455</v>
      </c>
      <c r="AM29" s="31">
        <v>503.07538</v>
      </c>
      <c r="AN29" s="31">
        <v>393.12786999999997</v>
      </c>
      <c r="AO29" s="31">
        <v>200</v>
      </c>
      <c r="AP29" s="31">
        <v>210</v>
      </c>
      <c r="AQ29" s="31">
        <v>220</v>
      </c>
      <c r="AR29" s="31">
        <v>200</v>
      </c>
      <c r="AS29" s="31">
        <v>712</v>
      </c>
      <c r="AT29" s="31">
        <v>796.17463999999995</v>
      </c>
      <c r="AU29" s="31">
        <v>507.75742000000002</v>
      </c>
      <c r="AV29" s="31">
        <v>488</v>
      </c>
      <c r="AW29" s="31">
        <v>500</v>
      </c>
      <c r="AX29" s="31">
        <v>520</v>
      </c>
      <c r="AY29" s="31"/>
      <c r="AZ29" s="31"/>
      <c r="BA29" s="30"/>
      <c r="BB29" s="30">
        <v>488</v>
      </c>
      <c r="BC29" s="30">
        <v>488</v>
      </c>
      <c r="BD29" s="30">
        <f t="shared" si="9"/>
        <v>0</v>
      </c>
      <c r="BE29" s="30">
        <f t="shared" si="10"/>
        <v>100</v>
      </c>
      <c r="BF29" s="30">
        <v>355.89600000000002</v>
      </c>
      <c r="BG29" s="30">
        <f>658.87232+11.93595</f>
        <v>670.80826999999999</v>
      </c>
      <c r="BH29" s="30">
        <f t="shared" si="11"/>
        <v>44.700745555020447</v>
      </c>
      <c r="BI29" s="30">
        <f t="shared" si="12"/>
        <v>72.929508196721315</v>
      </c>
      <c r="BJ29" s="30">
        <f t="shared" si="13"/>
        <v>72.929508196721315</v>
      </c>
      <c r="BK29" s="31">
        <v>488</v>
      </c>
      <c r="BL29" s="31">
        <f t="shared" si="15"/>
        <v>137.11870883628924</v>
      </c>
      <c r="BM29" s="31">
        <f t="shared" si="16"/>
        <v>97.6</v>
      </c>
      <c r="BN29" s="31">
        <v>500</v>
      </c>
      <c r="BO29" s="31">
        <f t="shared" si="17"/>
        <v>102.45901639344261</v>
      </c>
      <c r="BP29" s="31">
        <f t="shared" si="18"/>
        <v>96.15384615384616</v>
      </c>
      <c r="BQ29" s="31">
        <v>520</v>
      </c>
      <c r="BR29" s="31">
        <f t="shared" si="19"/>
        <v>104</v>
      </c>
    </row>
    <row r="30" spans="1:70" ht="27.75" hidden="1" customHeight="1" x14ac:dyDescent="0.3">
      <c r="A30" s="19"/>
      <c r="B30" s="46" t="s">
        <v>104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>
        <f>-58.20584-24.51049</f>
        <v>-82.716329999999999</v>
      </c>
      <c r="AE30" s="31"/>
      <c r="AF30" s="31"/>
      <c r="AG30" s="31"/>
      <c r="AH30" s="31">
        <v>-174.94844000000001</v>
      </c>
      <c r="AI30" s="31"/>
      <c r="AJ30" s="31"/>
      <c r="AK30" s="31"/>
      <c r="AL30" s="31"/>
      <c r="AM30" s="31"/>
      <c r="AN30" s="31">
        <f>-1.36048-0.46479</f>
        <v>-1.8252699999999999</v>
      </c>
      <c r="AO30" s="31"/>
      <c r="AP30" s="31"/>
      <c r="AQ30" s="31"/>
      <c r="AR30" s="31"/>
      <c r="AS30" s="31"/>
      <c r="AT30" s="31"/>
      <c r="AU30" s="31">
        <v>-41.185589999999998</v>
      </c>
      <c r="AV30" s="31"/>
      <c r="AW30" s="31"/>
      <c r="AX30" s="31"/>
      <c r="AY30" s="31"/>
      <c r="AZ30" s="31"/>
      <c r="BA30" s="30"/>
      <c r="BB30" s="30"/>
      <c r="BC30" s="30"/>
      <c r="BD30" s="30">
        <f t="shared" si="9"/>
        <v>0</v>
      </c>
      <c r="BE30" s="30" t="e">
        <f t="shared" si="10"/>
        <v>#DIV/0!</v>
      </c>
      <c r="BF30" s="30"/>
      <c r="BG30" s="30">
        <f>-4.454-0.6784</f>
        <v>-5.1323999999999996</v>
      </c>
      <c r="BH30" s="30" t="e">
        <f t="shared" si="11"/>
        <v>#DIV/0!</v>
      </c>
      <c r="BI30" s="30" t="e">
        <f t="shared" si="12"/>
        <v>#DIV/0!</v>
      </c>
      <c r="BJ30" s="30" t="e">
        <f t="shared" si="13"/>
        <v>#DIV/0!</v>
      </c>
      <c r="BK30" s="31"/>
      <c r="BL30" s="31" t="e">
        <f t="shared" si="15"/>
        <v>#DIV/0!</v>
      </c>
      <c r="BM30" s="31" t="e">
        <f t="shared" si="16"/>
        <v>#DIV/0!</v>
      </c>
      <c r="BN30" s="31"/>
      <c r="BO30" s="31" t="e">
        <f t="shared" si="17"/>
        <v>#DIV/0!</v>
      </c>
      <c r="BP30" s="31" t="e">
        <f t="shared" si="18"/>
        <v>#DIV/0!</v>
      </c>
      <c r="BQ30" s="31"/>
      <c r="BR30" s="31" t="e">
        <f t="shared" si="19"/>
        <v>#DIV/0!</v>
      </c>
    </row>
    <row r="31" spans="1:70" ht="21.75" hidden="1" customHeight="1" x14ac:dyDescent="0.3">
      <c r="A31" s="26" t="s">
        <v>117</v>
      </c>
      <c r="B31" s="27" t="s">
        <v>118</v>
      </c>
      <c r="C31" s="28">
        <f t="shared" ref="C31:H31" si="43">C32+C33</f>
        <v>0</v>
      </c>
      <c r="D31" s="28">
        <f t="shared" si="43"/>
        <v>0</v>
      </c>
      <c r="E31" s="28">
        <f t="shared" si="43"/>
        <v>0</v>
      </c>
      <c r="F31" s="28">
        <f t="shared" si="43"/>
        <v>0</v>
      </c>
      <c r="G31" s="28">
        <f t="shared" si="43"/>
        <v>0</v>
      </c>
      <c r="H31" s="28">
        <f t="shared" si="43"/>
        <v>0</v>
      </c>
      <c r="I31" s="28">
        <f>I32</f>
        <v>86.85</v>
      </c>
      <c r="J31" s="28">
        <f t="shared" ref="J31:AL31" si="44">J32+J33</f>
        <v>0</v>
      </c>
      <c r="K31" s="28">
        <f t="shared" si="44"/>
        <v>0</v>
      </c>
      <c r="L31" s="28">
        <f t="shared" si="44"/>
        <v>0</v>
      </c>
      <c r="M31" s="28">
        <f t="shared" si="44"/>
        <v>0</v>
      </c>
      <c r="N31" s="28">
        <f t="shared" si="44"/>
        <v>0</v>
      </c>
      <c r="O31" s="28">
        <f t="shared" si="44"/>
        <v>0</v>
      </c>
      <c r="P31" s="28">
        <f t="shared" si="44"/>
        <v>0</v>
      </c>
      <c r="Q31" s="28">
        <f t="shared" si="44"/>
        <v>0</v>
      </c>
      <c r="R31" s="28">
        <f t="shared" si="44"/>
        <v>0</v>
      </c>
      <c r="S31" s="28">
        <f t="shared" si="44"/>
        <v>0</v>
      </c>
      <c r="T31" s="28">
        <f t="shared" si="44"/>
        <v>0</v>
      </c>
      <c r="U31" s="28">
        <f t="shared" si="44"/>
        <v>0</v>
      </c>
      <c r="V31" s="28">
        <f t="shared" si="44"/>
        <v>0</v>
      </c>
      <c r="W31" s="28">
        <f t="shared" si="44"/>
        <v>0</v>
      </c>
      <c r="X31" s="28">
        <f t="shared" si="44"/>
        <v>0</v>
      </c>
      <c r="Y31" s="28">
        <f t="shared" si="44"/>
        <v>0</v>
      </c>
      <c r="Z31" s="28">
        <f t="shared" si="44"/>
        <v>0</v>
      </c>
      <c r="AA31" s="28">
        <f>AA32+AA33</f>
        <v>0</v>
      </c>
      <c r="AB31" s="28">
        <f>AB32+AB33</f>
        <v>0</v>
      </c>
      <c r="AC31" s="28">
        <f>AC32+AC33</f>
        <v>0</v>
      </c>
      <c r="AD31" s="28">
        <f>AD32+AD33</f>
        <v>0</v>
      </c>
      <c r="AE31" s="28">
        <f t="shared" si="44"/>
        <v>0</v>
      </c>
      <c r="AF31" s="28">
        <f t="shared" si="44"/>
        <v>0</v>
      </c>
      <c r="AG31" s="28">
        <f t="shared" si="44"/>
        <v>0</v>
      </c>
      <c r="AH31" s="28">
        <f t="shared" si="44"/>
        <v>0</v>
      </c>
      <c r="AI31" s="28">
        <f t="shared" si="44"/>
        <v>0</v>
      </c>
      <c r="AJ31" s="28">
        <f t="shared" si="44"/>
        <v>0</v>
      </c>
      <c r="AK31" s="28">
        <f t="shared" si="44"/>
        <v>0</v>
      </c>
      <c r="AL31" s="28">
        <f t="shared" si="44"/>
        <v>0</v>
      </c>
      <c r="AM31" s="28">
        <f>AM32+AM33</f>
        <v>0</v>
      </c>
      <c r="AN31" s="28">
        <f>AN32+AN33</f>
        <v>0</v>
      </c>
      <c r="AO31" s="28">
        <f t="shared" ref="AO31:AR31" si="45">AO32+AO33</f>
        <v>0</v>
      </c>
      <c r="AP31" s="28">
        <f t="shared" si="45"/>
        <v>0</v>
      </c>
      <c r="AQ31" s="28">
        <f t="shared" si="45"/>
        <v>0</v>
      </c>
      <c r="AR31" s="28">
        <f t="shared" si="45"/>
        <v>0</v>
      </c>
      <c r="AS31" s="28">
        <f>AS32+AS33</f>
        <v>0</v>
      </c>
      <c r="AT31" s="28">
        <f>AT32+AT33</f>
        <v>0</v>
      </c>
      <c r="AU31" s="28">
        <f>AU32+AU33</f>
        <v>0</v>
      </c>
      <c r="AV31" s="28">
        <f t="shared" ref="AV31:AZ31" si="46">AV32+AV33</f>
        <v>0</v>
      </c>
      <c r="AW31" s="28">
        <f t="shared" si="46"/>
        <v>0</v>
      </c>
      <c r="AX31" s="28">
        <f t="shared" si="46"/>
        <v>0</v>
      </c>
      <c r="AY31" s="28">
        <f t="shared" si="46"/>
        <v>0</v>
      </c>
      <c r="AZ31" s="28">
        <f t="shared" si="46"/>
        <v>0</v>
      </c>
      <c r="BA31" s="29">
        <v>0</v>
      </c>
      <c r="BB31" s="29">
        <v>0</v>
      </c>
      <c r="BC31" s="29">
        <v>0</v>
      </c>
      <c r="BD31" s="30">
        <f t="shared" si="9"/>
        <v>0</v>
      </c>
      <c r="BE31" s="30" t="e">
        <f t="shared" si="10"/>
        <v>#DIV/0!</v>
      </c>
      <c r="BF31" s="29">
        <f t="shared" ref="BF31" si="47">BF32+BF33</f>
        <v>0</v>
      </c>
      <c r="BG31" s="29">
        <f>BG32+BG33</f>
        <v>0</v>
      </c>
      <c r="BH31" s="30" t="e">
        <f t="shared" si="11"/>
        <v>#DIV/0!</v>
      </c>
      <c r="BI31" s="30" t="e">
        <f t="shared" si="12"/>
        <v>#DIV/0!</v>
      </c>
      <c r="BJ31" s="30" t="e">
        <f t="shared" si="13"/>
        <v>#DIV/0!</v>
      </c>
      <c r="BK31" s="28">
        <f t="shared" ref="BK31:BQ31" si="48">BK32+BK33</f>
        <v>0</v>
      </c>
      <c r="BL31" s="31" t="e">
        <f t="shared" si="15"/>
        <v>#DIV/0!</v>
      </c>
      <c r="BM31" s="31" t="e">
        <f t="shared" si="16"/>
        <v>#DIV/0!</v>
      </c>
      <c r="BN31" s="28">
        <f t="shared" si="48"/>
        <v>0</v>
      </c>
      <c r="BO31" s="31" t="e">
        <f t="shared" si="17"/>
        <v>#DIV/0!</v>
      </c>
      <c r="BP31" s="31" t="e">
        <f t="shared" si="18"/>
        <v>#DIV/0!</v>
      </c>
      <c r="BQ31" s="28">
        <f t="shared" si="48"/>
        <v>0</v>
      </c>
      <c r="BR31" s="31" t="e">
        <f t="shared" si="19"/>
        <v>#DIV/0!</v>
      </c>
    </row>
    <row r="32" spans="1:70" ht="27.75" hidden="1" customHeight="1" x14ac:dyDescent="0.3">
      <c r="A32" s="19" t="s">
        <v>119</v>
      </c>
      <c r="B32" s="46" t="s">
        <v>120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86.85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/>
      <c r="AZ32" s="31"/>
      <c r="BA32" s="30"/>
      <c r="BB32" s="30"/>
      <c r="BC32" s="30"/>
      <c r="BD32" s="30">
        <f t="shared" si="9"/>
        <v>0</v>
      </c>
      <c r="BE32" s="30" t="e">
        <f t="shared" si="10"/>
        <v>#DIV/0!</v>
      </c>
      <c r="BF32" s="30">
        <v>0</v>
      </c>
      <c r="BG32" s="30">
        <v>0</v>
      </c>
      <c r="BH32" s="30" t="e">
        <f t="shared" si="11"/>
        <v>#DIV/0!</v>
      </c>
      <c r="BI32" s="30" t="e">
        <f t="shared" si="12"/>
        <v>#DIV/0!</v>
      </c>
      <c r="BJ32" s="30" t="e">
        <f t="shared" si="13"/>
        <v>#DIV/0!</v>
      </c>
      <c r="BK32" s="31">
        <v>0</v>
      </c>
      <c r="BL32" s="31" t="e">
        <f t="shared" si="15"/>
        <v>#DIV/0!</v>
      </c>
      <c r="BM32" s="31" t="e">
        <f t="shared" si="16"/>
        <v>#DIV/0!</v>
      </c>
      <c r="BN32" s="31">
        <v>0</v>
      </c>
      <c r="BO32" s="31" t="e">
        <f t="shared" si="17"/>
        <v>#DIV/0!</v>
      </c>
      <c r="BP32" s="31" t="e">
        <f t="shared" si="18"/>
        <v>#DIV/0!</v>
      </c>
      <c r="BQ32" s="31">
        <v>0</v>
      </c>
      <c r="BR32" s="31" t="e">
        <f t="shared" si="19"/>
        <v>#DIV/0!</v>
      </c>
    </row>
    <row r="33" spans="1:71" ht="27.75" hidden="1" customHeight="1" x14ac:dyDescent="0.3">
      <c r="A33" s="19" t="s">
        <v>121</v>
      </c>
      <c r="B33" s="46" t="s">
        <v>122</v>
      </c>
      <c r="C33" s="31">
        <v>0</v>
      </c>
      <c r="D33" s="31"/>
      <c r="E33" s="31">
        <v>0</v>
      </c>
      <c r="F33" s="31">
        <v>0</v>
      </c>
      <c r="G33" s="31"/>
      <c r="H33" s="31">
        <v>0</v>
      </c>
      <c r="I33" s="31"/>
      <c r="J33" s="31">
        <v>0</v>
      </c>
      <c r="K33" s="31"/>
      <c r="L33" s="31">
        <v>0</v>
      </c>
      <c r="M33" s="31">
        <v>0</v>
      </c>
      <c r="N33" s="31">
        <v>0</v>
      </c>
      <c r="O33" s="31"/>
      <c r="P33" s="31">
        <v>0</v>
      </c>
      <c r="Q33" s="31">
        <v>0</v>
      </c>
      <c r="R33" s="31">
        <v>0</v>
      </c>
      <c r="S33" s="31"/>
      <c r="T33" s="31">
        <v>0</v>
      </c>
      <c r="U33" s="31">
        <v>0</v>
      </c>
      <c r="V33" s="31">
        <v>0</v>
      </c>
      <c r="W33" s="31"/>
      <c r="X33" s="31">
        <v>0</v>
      </c>
      <c r="Y33" s="31">
        <v>0</v>
      </c>
      <c r="Z33" s="31">
        <v>0</v>
      </c>
      <c r="AA33" s="31"/>
      <c r="AB33" s="31">
        <v>0</v>
      </c>
      <c r="AC33" s="31">
        <v>0</v>
      </c>
      <c r="AD33" s="31">
        <v>0</v>
      </c>
      <c r="AE33" s="31"/>
      <c r="AF33" s="31">
        <v>0</v>
      </c>
      <c r="AG33" s="31">
        <v>0</v>
      </c>
      <c r="AH33" s="31">
        <v>0</v>
      </c>
      <c r="AI33" s="31"/>
      <c r="AJ33" s="31"/>
      <c r="AK33" s="31"/>
      <c r="AL33" s="31"/>
      <c r="AM33" s="31">
        <v>0</v>
      </c>
      <c r="AN33" s="31">
        <v>0</v>
      </c>
      <c r="AO33" s="31"/>
      <c r="AP33" s="31"/>
      <c r="AQ33" s="31"/>
      <c r="AR33" s="31"/>
      <c r="AS33" s="31">
        <v>0</v>
      </c>
      <c r="AT33" s="31">
        <v>0</v>
      </c>
      <c r="AU33" s="31">
        <v>0</v>
      </c>
      <c r="AV33" s="31"/>
      <c r="AW33" s="31"/>
      <c r="AX33" s="31"/>
      <c r="AY33" s="31"/>
      <c r="AZ33" s="31"/>
      <c r="BA33" s="30"/>
      <c r="BB33" s="30"/>
      <c r="BC33" s="30"/>
      <c r="BD33" s="30">
        <f t="shared" si="9"/>
        <v>0</v>
      </c>
      <c r="BE33" s="30" t="e">
        <f t="shared" si="10"/>
        <v>#DIV/0!</v>
      </c>
      <c r="BF33" s="30"/>
      <c r="BG33" s="30">
        <v>0</v>
      </c>
      <c r="BH33" s="30" t="e">
        <f t="shared" si="11"/>
        <v>#DIV/0!</v>
      </c>
      <c r="BI33" s="30" t="e">
        <f t="shared" si="12"/>
        <v>#DIV/0!</v>
      </c>
      <c r="BJ33" s="30" t="e">
        <f t="shared" si="13"/>
        <v>#DIV/0!</v>
      </c>
      <c r="BK33" s="31"/>
      <c r="BL33" s="31" t="e">
        <f t="shared" si="15"/>
        <v>#DIV/0!</v>
      </c>
      <c r="BM33" s="31" t="e">
        <f t="shared" si="16"/>
        <v>#DIV/0!</v>
      </c>
      <c r="BN33" s="31"/>
      <c r="BO33" s="31" t="e">
        <f t="shared" si="17"/>
        <v>#DIV/0!</v>
      </c>
      <c r="BP33" s="31" t="e">
        <f t="shared" si="18"/>
        <v>#DIV/0!</v>
      </c>
      <c r="BQ33" s="31"/>
      <c r="BR33" s="31" t="e">
        <f t="shared" si="19"/>
        <v>#DIV/0!</v>
      </c>
    </row>
    <row r="34" spans="1:71" s="33" customFormat="1" ht="19.5" customHeight="1" x14ac:dyDescent="0.3">
      <c r="A34" s="26"/>
      <c r="B34" s="32" t="s">
        <v>123</v>
      </c>
      <c r="C34" s="28">
        <f t="shared" ref="C34:AL34" si="49">C36+C44+C48+C53+C62</f>
        <v>6319.7781800000002</v>
      </c>
      <c r="D34" s="28">
        <f t="shared" si="49"/>
        <v>5356</v>
      </c>
      <c r="E34" s="28">
        <f t="shared" si="49"/>
        <v>8265.7999999999993</v>
      </c>
      <c r="F34" s="28">
        <f t="shared" si="49"/>
        <v>9204.8876700000001</v>
      </c>
      <c r="G34" s="28">
        <f t="shared" si="49"/>
        <v>6629</v>
      </c>
      <c r="H34" s="28">
        <f t="shared" si="49"/>
        <v>8129.4</v>
      </c>
      <c r="I34" s="28">
        <f t="shared" si="49"/>
        <v>901.56349999999998</v>
      </c>
      <c r="J34" s="28">
        <f t="shared" si="49"/>
        <v>7650.8891800000001</v>
      </c>
      <c r="K34" s="28">
        <f t="shared" si="49"/>
        <v>6201.5</v>
      </c>
      <c r="L34" s="28">
        <f t="shared" si="49"/>
        <v>12206.7</v>
      </c>
      <c r="M34" s="28">
        <f t="shared" si="49"/>
        <v>12278.047729999998</v>
      </c>
      <c r="N34" s="28">
        <f t="shared" si="49"/>
        <v>-9848.7495900000013</v>
      </c>
      <c r="O34" s="28">
        <f t="shared" si="49"/>
        <v>6429.5</v>
      </c>
      <c r="P34" s="28">
        <f t="shared" si="49"/>
        <v>7096.02</v>
      </c>
      <c r="Q34" s="28">
        <f t="shared" si="49"/>
        <v>8121.6666599999999</v>
      </c>
      <c r="R34" s="28">
        <f t="shared" si="49"/>
        <v>-27239.647540000002</v>
      </c>
      <c r="S34" s="28">
        <f t="shared" si="49"/>
        <v>6616.5</v>
      </c>
      <c r="T34" s="28">
        <f t="shared" si="49"/>
        <v>7067.2</v>
      </c>
      <c r="U34" s="28">
        <f t="shared" si="49"/>
        <v>7223.8585499999999</v>
      </c>
      <c r="V34" s="28">
        <f t="shared" si="49"/>
        <v>6147.7025500000009</v>
      </c>
      <c r="W34" s="28">
        <f t="shared" si="49"/>
        <v>6719.1</v>
      </c>
      <c r="X34" s="28">
        <f t="shared" si="49"/>
        <v>8209.9</v>
      </c>
      <c r="Y34" s="28">
        <f t="shared" si="49"/>
        <v>9315.315630000001</v>
      </c>
      <c r="Z34" s="28">
        <f t="shared" si="49"/>
        <v>-33400.458559999999</v>
      </c>
      <c r="AA34" s="28">
        <f t="shared" si="49"/>
        <v>6744</v>
      </c>
      <c r="AB34" s="28">
        <f t="shared" si="49"/>
        <v>9485.2999999999993</v>
      </c>
      <c r="AC34" s="28">
        <f t="shared" si="49"/>
        <v>10125.179469999999</v>
      </c>
      <c r="AD34" s="28">
        <f t="shared" si="49"/>
        <v>5582.0388199999998</v>
      </c>
      <c r="AE34" s="28">
        <f t="shared" si="49"/>
        <v>7575</v>
      </c>
      <c r="AF34" s="28">
        <f t="shared" si="49"/>
        <v>8029.1</v>
      </c>
      <c r="AG34" s="28">
        <f t="shared" si="49"/>
        <v>8551.9787000000015</v>
      </c>
      <c r="AH34" s="28">
        <f t="shared" si="49"/>
        <v>2515.5702600000004</v>
      </c>
      <c r="AI34" s="28">
        <f t="shared" si="49"/>
        <v>7102</v>
      </c>
      <c r="AJ34" s="28">
        <f t="shared" si="49"/>
        <v>7039</v>
      </c>
      <c r="AK34" s="28">
        <f t="shared" si="49"/>
        <v>7051.9</v>
      </c>
      <c r="AL34" s="28">
        <f t="shared" si="49"/>
        <v>7904.7999999999993</v>
      </c>
      <c r="AM34" s="28">
        <f>AM36+AM44+AM48+AM53+AM62</f>
        <v>7966.4256500000001</v>
      </c>
      <c r="AN34" s="28">
        <f>AN36+AN44+AN48+AN53+AN62</f>
        <v>44459.137839999989</v>
      </c>
      <c r="AO34" s="28">
        <f t="shared" ref="AO34:AR34" si="50">AO36+AO44+AO48+AO53+AO62</f>
        <v>6157.8</v>
      </c>
      <c r="AP34" s="28">
        <f t="shared" si="50"/>
        <v>6208</v>
      </c>
      <c r="AQ34" s="28">
        <f t="shared" si="50"/>
        <v>6351.9</v>
      </c>
      <c r="AR34" s="28">
        <f t="shared" si="50"/>
        <v>10910.000000000002</v>
      </c>
      <c r="AS34" s="28">
        <f>AS36+AS44+AS48+AS53+AS62</f>
        <v>13399.900000000001</v>
      </c>
      <c r="AT34" s="28">
        <f>AT36+AT44+AT48+AT53+AT62</f>
        <v>14345.61282</v>
      </c>
      <c r="AU34" s="28">
        <f>AU36+AU44+AU48+AU53+AU62</f>
        <v>-23869.19472</v>
      </c>
      <c r="AV34" s="28">
        <f t="shared" ref="AV34:BF34" si="51">AV36+AV44+AV48+AV53+AV62</f>
        <v>5191.2</v>
      </c>
      <c r="AW34" s="28">
        <f>AW36+AW44+AW48+AW53+AW62</f>
        <v>5299.3</v>
      </c>
      <c r="AX34" s="28">
        <f>AX36+AX44+AX48+AX53+AX62</f>
        <v>5387.6</v>
      </c>
      <c r="AY34" s="28">
        <f t="shared" si="51"/>
        <v>5191.2</v>
      </c>
      <c r="AZ34" s="28">
        <f t="shared" si="51"/>
        <v>6455.5999999999995</v>
      </c>
      <c r="BA34" s="29">
        <f t="shared" si="51"/>
        <v>7555.5999999999995</v>
      </c>
      <c r="BB34" s="29">
        <f t="shared" si="51"/>
        <v>8937.6000000000022</v>
      </c>
      <c r="BC34" s="29">
        <f t="shared" si="51"/>
        <v>9582.1999999999989</v>
      </c>
      <c r="BD34" s="30">
        <f t="shared" si="9"/>
        <v>4390.9999999999991</v>
      </c>
      <c r="BE34" s="30">
        <f t="shared" si="10"/>
        <v>184.58545230389888</v>
      </c>
      <c r="BF34" s="29">
        <f t="shared" si="51"/>
        <v>10098.92424</v>
      </c>
      <c r="BG34" s="29">
        <f>BG36+BG44+BG48+BG53+BG62</f>
        <v>-66517.829679999995</v>
      </c>
      <c r="BH34" s="30">
        <f t="shared" si="11"/>
        <v>70.397301019587957</v>
      </c>
      <c r="BI34" s="30">
        <f t="shared" si="12"/>
        <v>194.53930189551551</v>
      </c>
      <c r="BJ34" s="30">
        <f t="shared" si="13"/>
        <v>105.39254283984889</v>
      </c>
      <c r="BK34" s="28">
        <f t="shared" ref="BK34" si="52">BK36+BK44+BK48+BK53+BK62</f>
        <v>6102.5000000000009</v>
      </c>
      <c r="BL34" s="31">
        <f t="shared" si="15"/>
        <v>60.427228237133512</v>
      </c>
      <c r="BM34" s="31">
        <f t="shared" si="16"/>
        <v>115.15671881191858</v>
      </c>
      <c r="BN34" s="28">
        <f>BN36+BN44+BN48+BN53+BN62</f>
        <v>6215.9000000000005</v>
      </c>
      <c r="BO34" s="31">
        <f t="shared" si="17"/>
        <v>101.85825481360098</v>
      </c>
      <c r="BP34" s="31">
        <f t="shared" si="18"/>
        <v>115.37419259039277</v>
      </c>
      <c r="BQ34" s="28">
        <f>BQ36+BQ44+BQ48+BQ53+BQ62</f>
        <v>6310.3</v>
      </c>
      <c r="BR34" s="31">
        <f t="shared" si="19"/>
        <v>101.51868595054619</v>
      </c>
    </row>
    <row r="35" spans="1:71" s="33" customFormat="1" ht="27.75" customHeight="1" x14ac:dyDescent="0.3">
      <c r="A35" s="26"/>
      <c r="B35" s="32" t="s">
        <v>75</v>
      </c>
      <c r="C35" s="28">
        <f t="shared" ref="C35:AH35" si="53">C34/C118*100</f>
        <v>6.0429257941573571</v>
      </c>
      <c r="D35" s="28">
        <f t="shared" si="53"/>
        <v>7.7362286896220986</v>
      </c>
      <c r="E35" s="28">
        <f t="shared" si="53"/>
        <v>6.4400066068929824</v>
      </c>
      <c r="F35" s="28">
        <f t="shared" si="53"/>
        <v>7.0653717771014382</v>
      </c>
      <c r="G35" s="28">
        <f t="shared" si="53"/>
        <v>7.7390055687217627</v>
      </c>
      <c r="H35" s="28">
        <f t="shared" si="53"/>
        <v>6.8659139222802255</v>
      </c>
      <c r="I35" s="28">
        <f t="shared" si="53"/>
        <v>1.9727036953559147</v>
      </c>
      <c r="J35" s="28">
        <f t="shared" si="53"/>
        <v>6.4862735531147093</v>
      </c>
      <c r="K35" s="28">
        <f t="shared" si="53"/>
        <v>7.9034634285597765</v>
      </c>
      <c r="L35" s="28">
        <f t="shared" si="53"/>
        <v>12.378061888788386</v>
      </c>
      <c r="M35" s="28">
        <f t="shared" si="53"/>
        <v>12.419077090379121</v>
      </c>
      <c r="N35" s="28">
        <f t="shared" si="53"/>
        <v>-4.5929784994133502</v>
      </c>
      <c r="O35" s="28">
        <f t="shared" si="53"/>
        <v>7.4388732759388692</v>
      </c>
      <c r="P35" s="28">
        <f t="shared" si="53"/>
        <v>6.1172940751549971</v>
      </c>
      <c r="Q35" s="28">
        <f t="shared" si="53"/>
        <v>6.9314027944623433</v>
      </c>
      <c r="R35" s="28">
        <f t="shared" si="53"/>
        <v>-14.667280535406668</v>
      </c>
      <c r="S35" s="28">
        <f t="shared" si="53"/>
        <v>7.1322931780502374</v>
      </c>
      <c r="T35" s="28">
        <f t="shared" si="53"/>
        <v>6.0287224196100677</v>
      </c>
      <c r="U35" s="28">
        <f t="shared" si="53"/>
        <v>6.081100753277088</v>
      </c>
      <c r="V35" s="28">
        <f t="shared" si="53"/>
        <v>3.125152378565879</v>
      </c>
      <c r="W35" s="28">
        <f t="shared" si="53"/>
        <v>7.7730205353228161</v>
      </c>
      <c r="X35" s="28">
        <f t="shared" si="53"/>
        <v>6.4540651278918855</v>
      </c>
      <c r="Y35" s="28">
        <f t="shared" si="53"/>
        <v>7.132283616939378</v>
      </c>
      <c r="Z35" s="28">
        <f t="shared" si="53"/>
        <v>-30.181047158950008</v>
      </c>
      <c r="AA35" s="28">
        <f t="shared" si="53"/>
        <v>7.9361156808890705</v>
      </c>
      <c r="AB35" s="28">
        <f t="shared" si="53"/>
        <v>7.5601802398362423</v>
      </c>
      <c r="AC35" s="28">
        <f t="shared" si="53"/>
        <v>7.8858328792397518</v>
      </c>
      <c r="AD35" s="28">
        <f t="shared" si="53"/>
        <v>3.8546375130700388</v>
      </c>
      <c r="AE35" s="28">
        <f t="shared" si="53"/>
        <v>8.4913337951722152</v>
      </c>
      <c r="AF35" s="28">
        <f t="shared" si="53"/>
        <v>6.7133953521039622</v>
      </c>
      <c r="AG35" s="28">
        <f t="shared" si="53"/>
        <v>7.1092153392040629</v>
      </c>
      <c r="AH35" s="28">
        <f t="shared" si="53"/>
        <v>2.1727473746219252</v>
      </c>
      <c r="AI35" s="28">
        <f t="shared" ref="AI35:BC35" si="54">AI34/AI118*100</f>
        <v>8.0953569673985761</v>
      </c>
      <c r="AJ35" s="28">
        <f t="shared" si="54"/>
        <v>9.1571851185009212</v>
      </c>
      <c r="AK35" s="28">
        <f t="shared" si="54"/>
        <v>9.1724157665813397</v>
      </c>
      <c r="AL35" s="28">
        <f t="shared" si="54"/>
        <v>6.0725249129621144</v>
      </c>
      <c r="AM35" s="28">
        <f t="shared" si="54"/>
        <v>6.1041796173325249</v>
      </c>
      <c r="AN35" s="28">
        <f t="shared" si="54"/>
        <v>26.403145636515106</v>
      </c>
      <c r="AO35" s="28">
        <f t="shared" si="54"/>
        <v>7.0317879569583051</v>
      </c>
      <c r="AP35" s="28">
        <f t="shared" si="54"/>
        <v>7.2831280847414472</v>
      </c>
      <c r="AQ35" s="28">
        <f t="shared" si="54"/>
        <v>7.4515733953994729</v>
      </c>
      <c r="AR35" s="28">
        <f t="shared" si="54"/>
        <v>10.177343237663822</v>
      </c>
      <c r="AS35" s="28">
        <f t="shared" si="54"/>
        <v>11.056305895612843</v>
      </c>
      <c r="AT35" s="28">
        <f t="shared" si="54"/>
        <v>12.023737431383031</v>
      </c>
      <c r="AU35" s="28">
        <f t="shared" si="54"/>
        <v>-29.578993091118356</v>
      </c>
      <c r="AV35" s="28">
        <f t="shared" si="54"/>
        <v>5.7113246220010101</v>
      </c>
      <c r="AW35" s="28">
        <f t="shared" si="54"/>
        <v>7.0188288398065204</v>
      </c>
      <c r="AX35" s="28">
        <f t="shared" si="54"/>
        <v>6.6911164735645272</v>
      </c>
      <c r="AY35" s="28">
        <f t="shared" si="54"/>
        <v>4.822841046546845</v>
      </c>
      <c r="AZ35" s="28">
        <f t="shared" si="54"/>
        <v>5.3635982203315899</v>
      </c>
      <c r="BA35" s="29">
        <f t="shared" si="54"/>
        <v>5.8595706993546059</v>
      </c>
      <c r="BB35" s="29">
        <f t="shared" si="54"/>
        <v>6.8458871136377759</v>
      </c>
      <c r="BC35" s="29">
        <f t="shared" si="54"/>
        <v>7.0858432509897931</v>
      </c>
      <c r="BD35" s="30"/>
      <c r="BE35" s="30"/>
      <c r="BF35" s="29">
        <f>BF34/BF118*100</f>
        <v>7.3786681063721504</v>
      </c>
      <c r="BG35" s="29">
        <f>BG34/BG118*100</f>
        <v>-108.6363090768774</v>
      </c>
      <c r="BH35" s="30"/>
      <c r="BI35" s="30"/>
      <c r="BJ35" s="30"/>
      <c r="BK35" s="28">
        <f>BK34/BK118*100</f>
        <v>6.1961045514588902</v>
      </c>
      <c r="BL35" s="31">
        <f t="shared" si="15"/>
        <v>83.973211183031665</v>
      </c>
      <c r="BM35" s="31">
        <f t="shared" si="16"/>
        <v>88.278325243071336</v>
      </c>
      <c r="BN35" s="28">
        <f>BN34/BN118*100</f>
        <v>7.5671878728263477</v>
      </c>
      <c r="BO35" s="31">
        <f t="shared" si="17"/>
        <v>122.12815019469987</v>
      </c>
      <c r="BP35" s="31">
        <f t="shared" si="18"/>
        <v>113.09305259776946</v>
      </c>
      <c r="BQ35" s="28">
        <f>BQ34/BQ118*100</f>
        <v>7.6795293682396588</v>
      </c>
      <c r="BR35" s="31">
        <f t="shared" si="19"/>
        <v>101.48458710555776</v>
      </c>
    </row>
    <row r="36" spans="1:71" ht="62.25" customHeight="1" x14ac:dyDescent="0.3">
      <c r="A36" s="26" t="s">
        <v>124</v>
      </c>
      <c r="B36" s="27" t="s">
        <v>125</v>
      </c>
      <c r="C36" s="28">
        <f t="shared" ref="C36:V36" si="55">C37+C42</f>
        <v>6025.8673399999998</v>
      </c>
      <c r="D36" s="28">
        <f t="shared" si="55"/>
        <v>4890</v>
      </c>
      <c r="E36" s="28">
        <f t="shared" si="55"/>
        <v>4890</v>
      </c>
      <c r="F36" s="28">
        <f t="shared" si="55"/>
        <v>6104.3625400000001</v>
      </c>
      <c r="G36" s="28">
        <f t="shared" si="55"/>
        <v>5527</v>
      </c>
      <c r="H36" s="28">
        <f t="shared" si="55"/>
        <v>6233.2</v>
      </c>
      <c r="I36" s="28">
        <f t="shared" si="55"/>
        <v>509.28149999999999</v>
      </c>
      <c r="J36" s="28">
        <f t="shared" si="55"/>
        <v>5811.1368999999995</v>
      </c>
      <c r="K36" s="28">
        <f t="shared" si="55"/>
        <v>5633</v>
      </c>
      <c r="L36" s="28">
        <f t="shared" si="55"/>
        <v>6625</v>
      </c>
      <c r="M36" s="28">
        <f t="shared" si="55"/>
        <v>6696.6345299999994</v>
      </c>
      <c r="N36" s="28">
        <f t="shared" si="55"/>
        <v>-1506.3143000000002</v>
      </c>
      <c r="O36" s="28">
        <f t="shared" si="55"/>
        <v>5848</v>
      </c>
      <c r="P36" s="28">
        <f t="shared" si="55"/>
        <v>5848</v>
      </c>
      <c r="Q36" s="28">
        <f t="shared" si="55"/>
        <v>6543.6547399999999</v>
      </c>
      <c r="R36" s="28">
        <f t="shared" si="55"/>
        <v>11689.378679999998</v>
      </c>
      <c r="S36" s="28">
        <f t="shared" si="55"/>
        <v>6035</v>
      </c>
      <c r="T36" s="28">
        <f t="shared" si="55"/>
        <v>6265.4</v>
      </c>
      <c r="U36" s="28">
        <f t="shared" si="55"/>
        <v>6726.8229000000001</v>
      </c>
      <c r="V36" s="28">
        <f t="shared" si="55"/>
        <v>7081.3861400000005</v>
      </c>
      <c r="W36" s="28">
        <f>W37+W42+W41</f>
        <v>6122.6</v>
      </c>
      <c r="X36" s="28">
        <f>X37+X42+X41+X39</f>
        <v>6625.8</v>
      </c>
      <c r="Y36" s="28">
        <f>Y37+Y42+Y41+Y39</f>
        <v>7662.7911399999994</v>
      </c>
      <c r="Z36" s="28">
        <f>Z37+Z42+Z39</f>
        <v>11293.11153</v>
      </c>
      <c r="AA36" s="28">
        <f>AA37+AA42+AA41+AA39</f>
        <v>6132.5</v>
      </c>
      <c r="AB36" s="28">
        <f>AB37+AB42+AB41+AB39</f>
        <v>8777.9</v>
      </c>
      <c r="AC36" s="28">
        <f>AC37+AC42+AC41+AC39</f>
        <v>9338.4050799999986</v>
      </c>
      <c r="AD36" s="28">
        <f>AD37+AD42+AD39</f>
        <v>5280.6184899999998</v>
      </c>
      <c r="AE36" s="28">
        <f>AE37+AE42+AE41+AE39</f>
        <v>6954</v>
      </c>
      <c r="AF36" s="28">
        <f>AF37+AF42+AF41+AF39</f>
        <v>7204</v>
      </c>
      <c r="AG36" s="28">
        <f>AG37+AG42+AG41+AG39</f>
        <v>7641.9316200000003</v>
      </c>
      <c r="AH36" s="28">
        <f>AH37+AH42+AH39</f>
        <v>2050.3003199999998</v>
      </c>
      <c r="AI36" s="28">
        <f>AI37+AI42+AI41+AI39</f>
        <v>6954</v>
      </c>
      <c r="AJ36" s="28">
        <f>AJ37+AJ42+AJ41+AJ39</f>
        <v>6983</v>
      </c>
      <c r="AK36" s="28">
        <f>AK37+AK42+AK41+AK39</f>
        <v>7026.9</v>
      </c>
      <c r="AL36" s="28">
        <f>AL37+AL42+AL41+AL39</f>
        <v>7605.9</v>
      </c>
      <c r="AM36" s="28">
        <f>AM37+AM42+AM41+AM39</f>
        <v>7631.3112799999999</v>
      </c>
      <c r="AN36" s="28">
        <f>AN37+AN42+AN39+AN43</f>
        <v>44315.757119999995</v>
      </c>
      <c r="AO36" s="28">
        <f>AO37+AO42+AO41+AO39</f>
        <v>6104</v>
      </c>
      <c r="AP36" s="28">
        <f>AP37+AP42+AP41+AP39</f>
        <v>6183</v>
      </c>
      <c r="AQ36" s="28">
        <f>AQ37+AQ42+AQ41+AQ39</f>
        <v>6326.9</v>
      </c>
      <c r="AR36" s="28">
        <f>AR37+AR42+AR41+AR39</f>
        <v>6767.2000000000007</v>
      </c>
      <c r="AS36" s="28">
        <f>AS37+AS42+AS41+AS39</f>
        <v>8869.1</v>
      </c>
      <c r="AT36" s="28">
        <f>AT37+AT42+AT39+AT43</f>
        <v>9728.0478299999995</v>
      </c>
      <c r="AU36" s="28">
        <f>AU37+AU42+AU39</f>
        <v>7275.4374400000006</v>
      </c>
      <c r="AV36" s="28">
        <f>AV37+AV42+AV41+AV39</f>
        <v>5159.7</v>
      </c>
      <c r="AW36" s="28">
        <f>AW37+AW42+AW41+AW39</f>
        <v>5270.5</v>
      </c>
      <c r="AX36" s="28">
        <f>AX37+AX42+AX41+AX39</f>
        <v>5351.6</v>
      </c>
      <c r="AY36" s="28">
        <v>5159.7</v>
      </c>
      <c r="AZ36" s="28">
        <v>6159.7</v>
      </c>
      <c r="BA36" s="29">
        <v>7259.7</v>
      </c>
      <c r="BB36" s="29">
        <v>8641.7000000000007</v>
      </c>
      <c r="BC36" s="29">
        <f>BC37+BC39+BC42</f>
        <v>9270.5999999999985</v>
      </c>
      <c r="BD36" s="30">
        <f t="shared" si="9"/>
        <v>4110.8999999999987</v>
      </c>
      <c r="BE36" s="30">
        <f t="shared" si="10"/>
        <v>179.67323681609392</v>
      </c>
      <c r="BF36" s="29">
        <f>BF37+BF42+BF41+BF39</f>
        <v>9780.0160600000017</v>
      </c>
      <c r="BG36" s="29">
        <f>BG37+BG42+BG39</f>
        <v>8229.7654799999982</v>
      </c>
      <c r="BH36" s="30">
        <f t="shared" si="11"/>
        <v>100.53421026405462</v>
      </c>
      <c r="BI36" s="30">
        <f t="shared" si="12"/>
        <v>189.54621509002465</v>
      </c>
      <c r="BJ36" s="30">
        <f t="shared" si="13"/>
        <v>105.49496321705179</v>
      </c>
      <c r="BK36" s="28">
        <f>BK37+BK42+BK41+BK39</f>
        <v>6037.7000000000007</v>
      </c>
      <c r="BL36" s="31">
        <f t="shared" si="15"/>
        <v>61.735072447314565</v>
      </c>
      <c r="BM36" s="31">
        <f t="shared" si="16"/>
        <v>114.55649369130066</v>
      </c>
      <c r="BN36" s="28">
        <f>BN37+BN42+BN41+BN39</f>
        <v>6181.3</v>
      </c>
      <c r="BO36" s="31">
        <f t="shared" si="17"/>
        <v>102.3783891216854</v>
      </c>
      <c r="BP36" s="31">
        <f t="shared" si="18"/>
        <v>115.50377457209058</v>
      </c>
      <c r="BQ36" s="28">
        <f>BQ37+BQ42+BQ41+BQ39</f>
        <v>6256.3</v>
      </c>
      <c r="BR36" s="31">
        <f t="shared" si="19"/>
        <v>101.21333700030736</v>
      </c>
    </row>
    <row r="37" spans="1:71" ht="27.75" hidden="1" customHeight="1" x14ac:dyDescent="0.3">
      <c r="A37" s="19" t="s">
        <v>126</v>
      </c>
      <c r="B37" s="46" t="s">
        <v>127</v>
      </c>
      <c r="C37" s="31">
        <f>3630.67874</f>
        <v>3630.6787399999998</v>
      </c>
      <c r="D37" s="31">
        <v>3450</v>
      </c>
      <c r="E37" s="31">
        <v>3450</v>
      </c>
      <c r="F37" s="31">
        <f>4436.09044</f>
        <v>4436.0904399999999</v>
      </c>
      <c r="G37" s="31">
        <v>3700</v>
      </c>
      <c r="H37" s="31">
        <v>3700</v>
      </c>
      <c r="I37" s="31">
        <v>133.61360999999999</v>
      </c>
      <c r="J37" s="31">
        <v>3269.16815</v>
      </c>
      <c r="K37" s="31">
        <v>3590</v>
      </c>
      <c r="L37" s="31">
        <v>4462</v>
      </c>
      <c r="M37" s="31">
        <v>4480.3065399999996</v>
      </c>
      <c r="N37" s="31">
        <v>1630.3516099999999</v>
      </c>
      <c r="O37" s="31">
        <v>3625</v>
      </c>
      <c r="P37" s="31">
        <v>3625</v>
      </c>
      <c r="Q37" s="31">
        <v>4050.2684599999998</v>
      </c>
      <c r="R37" s="31">
        <f>13108.71856-4105.48045</f>
        <v>9003.2381099999984</v>
      </c>
      <c r="S37" s="31">
        <v>3735</v>
      </c>
      <c r="T37" s="31">
        <v>4300</v>
      </c>
      <c r="U37" s="31">
        <v>4652.58554</v>
      </c>
      <c r="V37" s="31">
        <v>5159.7086900000004</v>
      </c>
      <c r="W37" s="31">
        <v>3750</v>
      </c>
      <c r="X37" s="31">
        <v>5020</v>
      </c>
      <c r="Y37" s="31">
        <v>5730.5502299999998</v>
      </c>
      <c r="Z37" s="31">
        <f>8194.15488-1.419</f>
        <v>8192.7358800000002</v>
      </c>
      <c r="AA37" s="31">
        <v>3752.5</v>
      </c>
      <c r="AB37" s="31">
        <v>6702.8</v>
      </c>
      <c r="AC37" s="31">
        <f>261.53018+6717.70773</f>
        <v>6979.2379099999998</v>
      </c>
      <c r="AD37" s="31">
        <v>921.63122999999996</v>
      </c>
      <c r="AE37" s="31">
        <v>4021.6</v>
      </c>
      <c r="AF37" s="31">
        <v>4271.6000000000004</v>
      </c>
      <c r="AG37" s="31">
        <f>4680.98865+45.01587</f>
        <v>4726.0045200000004</v>
      </c>
      <c r="AH37" s="31">
        <v>1545.68282</v>
      </c>
      <c r="AI37" s="31">
        <v>4021.6</v>
      </c>
      <c r="AJ37" s="31">
        <v>4050.6</v>
      </c>
      <c r="AK37" s="31">
        <v>4094.5</v>
      </c>
      <c r="AL37" s="31">
        <v>4656.5</v>
      </c>
      <c r="AM37" s="31">
        <f>4767.9789-44.33403</f>
        <v>4723.6448700000001</v>
      </c>
      <c r="AN37" s="31">
        <v>13793.19534</v>
      </c>
      <c r="AO37" s="31">
        <v>4034</v>
      </c>
      <c r="AP37" s="31">
        <v>4050</v>
      </c>
      <c r="AQ37" s="31">
        <v>4093.9</v>
      </c>
      <c r="AR37" s="31">
        <v>3034</v>
      </c>
      <c r="AS37" s="31">
        <v>3721</v>
      </c>
      <c r="AT37" s="31">
        <v>4208.9862199999998</v>
      </c>
      <c r="AU37" s="31">
        <v>5961.0093100000004</v>
      </c>
      <c r="AV37" s="31">
        <v>1358.4</v>
      </c>
      <c r="AW37" s="31">
        <v>1406.6</v>
      </c>
      <c r="AX37" s="31">
        <v>1441.9</v>
      </c>
      <c r="AY37" s="31"/>
      <c r="AZ37" s="31"/>
      <c r="BA37" s="30"/>
      <c r="BB37" s="30">
        <v>4238</v>
      </c>
      <c r="BC37" s="30">
        <v>4640.7</v>
      </c>
      <c r="BD37" s="30">
        <f t="shared" si="9"/>
        <v>3282.2999999999997</v>
      </c>
      <c r="BE37" s="30">
        <f t="shared" si="10"/>
        <v>341.6298586572438</v>
      </c>
      <c r="BF37" s="30">
        <v>5056.3461100000004</v>
      </c>
      <c r="BG37" s="30">
        <f>3034.26143+3378.67307</f>
        <v>6412.9344999999994</v>
      </c>
      <c r="BH37" s="30">
        <f t="shared" si="11"/>
        <v>120.13216118345953</v>
      </c>
      <c r="BI37" s="30">
        <f t="shared" si="12"/>
        <v>372.22807052414606</v>
      </c>
      <c r="BJ37" s="30">
        <f t="shared" si="13"/>
        <v>108.9565390997048</v>
      </c>
      <c r="BK37" s="31">
        <v>2967.9</v>
      </c>
      <c r="BL37" s="31">
        <f t="shared" si="15"/>
        <v>58.696535708470321</v>
      </c>
      <c r="BM37" s="31">
        <f t="shared" si="16"/>
        <v>210.99815157116453</v>
      </c>
      <c r="BN37" s="31">
        <v>3111.5</v>
      </c>
      <c r="BO37" s="31">
        <f t="shared" si="17"/>
        <v>104.8384379527612</v>
      </c>
      <c r="BP37" s="31">
        <f t="shared" si="18"/>
        <v>215.79166377696092</v>
      </c>
      <c r="BQ37" s="31">
        <v>3186.5</v>
      </c>
      <c r="BR37" s="31">
        <f t="shared" si="19"/>
        <v>102.41041298409128</v>
      </c>
    </row>
    <row r="38" spans="1:71" ht="27.75" hidden="1" customHeight="1" x14ac:dyDescent="0.3">
      <c r="A38" s="19"/>
      <c r="B38" s="46" t="s">
        <v>128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>
        <v>45.01587</v>
      </c>
      <c r="AH38" s="31"/>
      <c r="AI38" s="31"/>
      <c r="AJ38" s="31"/>
      <c r="AK38" s="31"/>
      <c r="AL38" s="31"/>
      <c r="AM38" s="31">
        <v>-44.334029999999998</v>
      </c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0"/>
      <c r="BB38" s="30"/>
      <c r="BC38" s="30"/>
      <c r="BD38" s="30">
        <f t="shared" si="9"/>
        <v>0</v>
      </c>
      <c r="BE38" s="30" t="e">
        <f t="shared" si="10"/>
        <v>#DIV/0!</v>
      </c>
      <c r="BF38" s="30"/>
      <c r="BG38" s="30"/>
      <c r="BH38" s="30" t="e">
        <f t="shared" si="11"/>
        <v>#DIV/0!</v>
      </c>
      <c r="BI38" s="30" t="e">
        <f t="shared" si="12"/>
        <v>#DIV/0!</v>
      </c>
      <c r="BJ38" s="30" t="e">
        <f t="shared" si="13"/>
        <v>#DIV/0!</v>
      </c>
      <c r="BK38" s="31"/>
      <c r="BL38" s="31" t="e">
        <f t="shared" si="15"/>
        <v>#DIV/0!</v>
      </c>
      <c r="BM38" s="31" t="e">
        <f t="shared" si="16"/>
        <v>#DIV/0!</v>
      </c>
      <c r="BN38" s="31"/>
      <c r="BO38" s="31" t="e">
        <f t="shared" si="17"/>
        <v>#DIV/0!</v>
      </c>
      <c r="BP38" s="31" t="e">
        <f t="shared" si="18"/>
        <v>#DIV/0!</v>
      </c>
      <c r="BQ38" s="31"/>
      <c r="BR38" s="31" t="e">
        <f t="shared" si="19"/>
        <v>#DIV/0!</v>
      </c>
    </row>
    <row r="39" spans="1:71" ht="27.75" hidden="1" customHeight="1" x14ac:dyDescent="0.3">
      <c r="A39" s="48" t="s">
        <v>129</v>
      </c>
      <c r="B39" s="46" t="s">
        <v>130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>
        <v>5.8</v>
      </c>
      <c r="Y39" s="31">
        <v>8.5101300000000002</v>
      </c>
      <c r="Z39" s="31">
        <v>15.96505</v>
      </c>
      <c r="AA39" s="31">
        <v>32.4</v>
      </c>
      <c r="AB39" s="31">
        <v>35.799999999999997</v>
      </c>
      <c r="AC39" s="31">
        <v>45.253680000000003</v>
      </c>
      <c r="AD39" s="31">
        <v>85.215739999999997</v>
      </c>
      <c r="AE39" s="31">
        <v>32.4</v>
      </c>
      <c r="AF39" s="31">
        <v>32.4</v>
      </c>
      <c r="AG39" s="31">
        <v>66.304180000000002</v>
      </c>
      <c r="AH39" s="31">
        <v>75.557860000000005</v>
      </c>
      <c r="AI39" s="31">
        <v>32.4</v>
      </c>
      <c r="AJ39" s="31">
        <v>32.4</v>
      </c>
      <c r="AK39" s="31">
        <v>32.4</v>
      </c>
      <c r="AL39" s="31">
        <v>49.4</v>
      </c>
      <c r="AM39" s="31">
        <v>49.449750000000002</v>
      </c>
      <c r="AN39" s="31">
        <v>77.24803</v>
      </c>
      <c r="AO39" s="31">
        <v>33</v>
      </c>
      <c r="AP39" s="31">
        <v>33</v>
      </c>
      <c r="AQ39" s="31">
        <v>33</v>
      </c>
      <c r="AR39" s="31">
        <v>3138.9</v>
      </c>
      <c r="AS39" s="31">
        <v>4553.8</v>
      </c>
      <c r="AT39" s="31">
        <v>5051.4514499999996</v>
      </c>
      <c r="AU39" s="31">
        <f>1545.3843-16.70771</f>
        <v>1528.67659</v>
      </c>
      <c r="AV39" s="31">
        <v>1764.3</v>
      </c>
      <c r="AW39" s="31">
        <v>1826.9</v>
      </c>
      <c r="AX39" s="31">
        <v>1872.7</v>
      </c>
      <c r="AY39" s="31"/>
      <c r="AZ39" s="31"/>
      <c r="BA39" s="30"/>
      <c r="BB39" s="30">
        <v>4233</v>
      </c>
      <c r="BC39" s="30">
        <v>4529.8999999999996</v>
      </c>
      <c r="BD39" s="30">
        <f t="shared" si="9"/>
        <v>2765.5999999999995</v>
      </c>
      <c r="BE39" s="30">
        <f t="shared" si="10"/>
        <v>256.75338661225413</v>
      </c>
      <c r="BF39" s="30">
        <v>4604.2812100000001</v>
      </c>
      <c r="BG39" s="30">
        <v>1658.9183800000001</v>
      </c>
      <c r="BH39" s="30">
        <f t="shared" si="11"/>
        <v>91.147688057063291</v>
      </c>
      <c r="BI39" s="30">
        <f t="shared" si="12"/>
        <v>260.96929150371255</v>
      </c>
      <c r="BJ39" s="30">
        <f t="shared" si="13"/>
        <v>101.64200556303673</v>
      </c>
      <c r="BK39" s="31">
        <v>2969.8</v>
      </c>
      <c r="BL39" s="31">
        <f t="shared" si="15"/>
        <v>64.500838774788917</v>
      </c>
      <c r="BM39" s="31">
        <f t="shared" si="16"/>
        <v>162.55952706771032</v>
      </c>
      <c r="BN39" s="31">
        <v>2969.8</v>
      </c>
      <c r="BO39" s="31">
        <f t="shared" si="17"/>
        <v>100</v>
      </c>
      <c r="BP39" s="31">
        <f t="shared" si="18"/>
        <v>158.58386287178939</v>
      </c>
      <c r="BQ39" s="31">
        <v>2969.8</v>
      </c>
      <c r="BR39" s="31">
        <f t="shared" si="19"/>
        <v>100</v>
      </c>
    </row>
    <row r="40" spans="1:71" ht="27.75" hidden="1" customHeight="1" x14ac:dyDescent="0.3">
      <c r="A40" s="19" t="s">
        <v>131</v>
      </c>
      <c r="B40" s="46" t="s">
        <v>132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0"/>
      <c r="BB40" s="30"/>
      <c r="BC40" s="30"/>
      <c r="BD40" s="30">
        <f t="shared" si="9"/>
        <v>0</v>
      </c>
      <c r="BE40" s="30" t="e">
        <f t="shared" si="10"/>
        <v>#DIV/0!</v>
      </c>
      <c r="BF40" s="30"/>
      <c r="BG40" s="30"/>
      <c r="BH40" s="30" t="e">
        <f t="shared" si="11"/>
        <v>#DIV/0!</v>
      </c>
      <c r="BI40" s="30" t="e">
        <f t="shared" si="12"/>
        <v>#DIV/0!</v>
      </c>
      <c r="BJ40" s="30" t="e">
        <f t="shared" si="13"/>
        <v>#DIV/0!</v>
      </c>
      <c r="BK40" s="31"/>
      <c r="BL40" s="31" t="e">
        <f t="shared" si="15"/>
        <v>#DIV/0!</v>
      </c>
      <c r="BM40" s="31" t="e">
        <f t="shared" si="16"/>
        <v>#DIV/0!</v>
      </c>
      <c r="BN40" s="31"/>
      <c r="BO40" s="31" t="e">
        <f t="shared" si="17"/>
        <v>#DIV/0!</v>
      </c>
      <c r="BP40" s="31" t="e">
        <f t="shared" si="18"/>
        <v>#DIV/0!</v>
      </c>
      <c r="BQ40" s="31"/>
      <c r="BR40" s="31" t="e">
        <f t="shared" si="19"/>
        <v>#DIV/0!</v>
      </c>
    </row>
    <row r="41" spans="1:71" ht="27.75" hidden="1" customHeight="1" x14ac:dyDescent="0.3">
      <c r="A41" s="19" t="s">
        <v>133</v>
      </c>
      <c r="B41" s="46" t="s">
        <v>134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0"/>
      <c r="BB41" s="30"/>
      <c r="BC41" s="30"/>
      <c r="BD41" s="30">
        <f t="shared" si="9"/>
        <v>0</v>
      </c>
      <c r="BE41" s="30" t="e">
        <f t="shared" si="10"/>
        <v>#DIV/0!</v>
      </c>
      <c r="BF41" s="30"/>
      <c r="BG41" s="30"/>
      <c r="BH41" s="30" t="e">
        <f t="shared" si="11"/>
        <v>#DIV/0!</v>
      </c>
      <c r="BI41" s="30" t="e">
        <f t="shared" si="12"/>
        <v>#DIV/0!</v>
      </c>
      <c r="BJ41" s="30" t="e">
        <f t="shared" si="13"/>
        <v>#DIV/0!</v>
      </c>
      <c r="BK41" s="31"/>
      <c r="BL41" s="31" t="e">
        <f t="shared" si="15"/>
        <v>#DIV/0!</v>
      </c>
      <c r="BM41" s="31" t="e">
        <f t="shared" si="16"/>
        <v>#DIV/0!</v>
      </c>
      <c r="BN41" s="31"/>
      <c r="BO41" s="31" t="e">
        <f t="shared" si="17"/>
        <v>#DIV/0!</v>
      </c>
      <c r="BP41" s="31" t="e">
        <f t="shared" si="18"/>
        <v>#DIV/0!</v>
      </c>
      <c r="BQ41" s="31"/>
      <c r="BR41" s="31" t="e">
        <f t="shared" si="19"/>
        <v>#DIV/0!</v>
      </c>
    </row>
    <row r="42" spans="1:71" ht="27.75" hidden="1" customHeight="1" x14ac:dyDescent="0.3">
      <c r="A42" s="19" t="s">
        <v>135</v>
      </c>
      <c r="B42" s="46" t="s">
        <v>136</v>
      </c>
      <c r="C42" s="31">
        <v>2395.1886</v>
      </c>
      <c r="D42" s="31">
        <v>1440</v>
      </c>
      <c r="E42" s="31">
        <v>1440</v>
      </c>
      <c r="F42" s="31">
        <v>1668.2720999999999</v>
      </c>
      <c r="G42" s="31">
        <v>1827</v>
      </c>
      <c r="H42" s="31">
        <v>2533.1999999999998</v>
      </c>
      <c r="I42" s="31">
        <v>375.66789</v>
      </c>
      <c r="J42" s="31">
        <v>2541.96875</v>
      </c>
      <c r="K42" s="31">
        <v>2043</v>
      </c>
      <c r="L42" s="31">
        <v>2163</v>
      </c>
      <c r="M42" s="31">
        <v>2216.3279900000002</v>
      </c>
      <c r="N42" s="31">
        <v>-3136.6659100000002</v>
      </c>
      <c r="O42" s="31">
        <v>2223</v>
      </c>
      <c r="P42" s="31">
        <v>2223</v>
      </c>
      <c r="Q42" s="31">
        <v>2493.3862800000002</v>
      </c>
      <c r="R42" s="31">
        <v>2686.14057</v>
      </c>
      <c r="S42" s="31">
        <v>2300</v>
      </c>
      <c r="T42" s="31">
        <v>1965.4</v>
      </c>
      <c r="U42" s="31">
        <f>2074.23736</f>
        <v>2074.2373600000001</v>
      </c>
      <c r="V42" s="31">
        <v>1921.6774499999999</v>
      </c>
      <c r="W42" s="31">
        <v>2372.6</v>
      </c>
      <c r="X42" s="31">
        <v>1600</v>
      </c>
      <c r="Y42" s="31">
        <v>1923.7307800000001</v>
      </c>
      <c r="Z42" s="31">
        <f>3227.35747-142.94687</f>
        <v>3084.4106000000002</v>
      </c>
      <c r="AA42" s="31">
        <v>2347.6</v>
      </c>
      <c r="AB42" s="31">
        <v>2039.3</v>
      </c>
      <c r="AC42" s="31">
        <v>2313.9134899999999</v>
      </c>
      <c r="AD42" s="31">
        <v>4273.7715200000002</v>
      </c>
      <c r="AE42" s="31">
        <v>2900</v>
      </c>
      <c r="AF42" s="31">
        <v>2900</v>
      </c>
      <c r="AG42" s="31">
        <v>2849.6229199999998</v>
      </c>
      <c r="AH42" s="31">
        <v>429.05964</v>
      </c>
      <c r="AI42" s="31">
        <v>2900</v>
      </c>
      <c r="AJ42" s="31">
        <v>2900</v>
      </c>
      <c r="AK42" s="31">
        <v>2900</v>
      </c>
      <c r="AL42" s="31">
        <v>2900</v>
      </c>
      <c r="AM42" s="31">
        <v>2858.21666</v>
      </c>
      <c r="AN42" s="31">
        <v>3775.8444100000002</v>
      </c>
      <c r="AO42" s="31">
        <v>2037</v>
      </c>
      <c r="AP42" s="31">
        <v>2100</v>
      </c>
      <c r="AQ42" s="31">
        <v>2200</v>
      </c>
      <c r="AR42" s="31">
        <v>594.29999999999995</v>
      </c>
      <c r="AS42" s="31">
        <v>594.29999999999995</v>
      </c>
      <c r="AT42" s="31">
        <v>467.61016000000001</v>
      </c>
      <c r="AU42" s="31">
        <f>156.68131-370.92977</f>
        <v>-214.24846000000002</v>
      </c>
      <c r="AV42" s="31">
        <v>2037</v>
      </c>
      <c r="AW42" s="31">
        <v>2037</v>
      </c>
      <c r="AX42" s="31">
        <v>2037</v>
      </c>
      <c r="AY42" s="31"/>
      <c r="AZ42" s="31"/>
      <c r="BA42" s="30"/>
      <c r="BB42" s="30">
        <v>170.7</v>
      </c>
      <c r="BC42" s="30">
        <v>100</v>
      </c>
      <c r="BD42" s="30">
        <f t="shared" si="9"/>
        <v>-1937</v>
      </c>
      <c r="BE42" s="30">
        <f t="shared" si="10"/>
        <v>4.909180166912126</v>
      </c>
      <c r="BF42" s="30">
        <v>119.38874</v>
      </c>
      <c r="BG42" s="30">
        <v>157.9126</v>
      </c>
      <c r="BH42" s="30">
        <f t="shared" si="11"/>
        <v>25.531682202970096</v>
      </c>
      <c r="BI42" s="30">
        <f t="shared" si="12"/>
        <v>5.8610083456062831</v>
      </c>
      <c r="BJ42" s="30">
        <f t="shared" si="13"/>
        <v>119.38874</v>
      </c>
      <c r="BK42" s="31">
        <v>100</v>
      </c>
      <c r="BL42" s="31">
        <f t="shared" si="15"/>
        <v>83.759992776538226</v>
      </c>
      <c r="BM42" s="31">
        <f t="shared" si="16"/>
        <v>4.909180166912126</v>
      </c>
      <c r="BN42" s="31">
        <v>100</v>
      </c>
      <c r="BO42" s="31">
        <f t="shared" si="17"/>
        <v>100</v>
      </c>
      <c r="BP42" s="31">
        <f t="shared" si="18"/>
        <v>4.909180166912126</v>
      </c>
      <c r="BQ42" s="31">
        <v>100</v>
      </c>
      <c r="BR42" s="31">
        <f t="shared" si="19"/>
        <v>100</v>
      </c>
    </row>
    <row r="43" spans="1:71" ht="27.75" hidden="1" customHeight="1" x14ac:dyDescent="0.3">
      <c r="A43" s="19" t="s">
        <v>137</v>
      </c>
      <c r="B43" s="46" t="s">
        <v>138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>
        <v>26669.46934</v>
      </c>
      <c r="AO43" s="31"/>
      <c r="AP43" s="31"/>
      <c r="AQ43" s="31"/>
      <c r="AR43" s="31"/>
      <c r="AS43" s="31"/>
      <c r="AT43" s="31"/>
      <c r="AU43" s="31">
        <v>1470.8914400000001</v>
      </c>
      <c r="AV43" s="31"/>
      <c r="AW43" s="31"/>
      <c r="AX43" s="31"/>
      <c r="AY43" s="31"/>
      <c r="AZ43" s="31"/>
      <c r="BA43" s="30"/>
      <c r="BB43" s="30"/>
      <c r="BC43" s="30"/>
      <c r="BD43" s="30">
        <f t="shared" si="9"/>
        <v>0</v>
      </c>
      <c r="BE43" s="30" t="e">
        <f t="shared" si="10"/>
        <v>#DIV/0!</v>
      </c>
      <c r="BF43" s="30"/>
      <c r="BG43" s="30">
        <v>-145</v>
      </c>
      <c r="BH43" s="30" t="e">
        <f t="shared" si="11"/>
        <v>#DIV/0!</v>
      </c>
      <c r="BI43" s="30" t="e">
        <f t="shared" si="12"/>
        <v>#DIV/0!</v>
      </c>
      <c r="BJ43" s="30" t="e">
        <f t="shared" si="13"/>
        <v>#DIV/0!</v>
      </c>
      <c r="BK43" s="31"/>
      <c r="BL43" s="31" t="e">
        <f t="shared" si="15"/>
        <v>#DIV/0!</v>
      </c>
      <c r="BM43" s="31" t="e">
        <f t="shared" si="16"/>
        <v>#DIV/0!</v>
      </c>
      <c r="BN43" s="31"/>
      <c r="BO43" s="31" t="e">
        <f t="shared" si="17"/>
        <v>#DIV/0!</v>
      </c>
      <c r="BP43" s="31" t="e">
        <f t="shared" si="18"/>
        <v>#DIV/0!</v>
      </c>
      <c r="BQ43" s="31"/>
      <c r="BR43" s="31" t="e">
        <f t="shared" si="19"/>
        <v>#DIV/0!</v>
      </c>
    </row>
    <row r="44" spans="1:71" ht="40.5" customHeight="1" x14ac:dyDescent="0.3">
      <c r="A44" s="26" t="s">
        <v>139</v>
      </c>
      <c r="B44" s="27" t="s">
        <v>140</v>
      </c>
      <c r="C44" s="28">
        <f>C45</f>
        <v>45.497</v>
      </c>
      <c r="D44" s="28">
        <f>D45</f>
        <v>466</v>
      </c>
      <c r="E44" s="28">
        <f>E45+E46</f>
        <v>532.79999999999995</v>
      </c>
      <c r="F44" s="28">
        <f>F45+F46</f>
        <v>527.00263999999993</v>
      </c>
      <c r="G44" s="28">
        <f>G45</f>
        <v>466</v>
      </c>
      <c r="H44" s="28">
        <f>H45+H46</f>
        <v>432</v>
      </c>
      <c r="I44" s="28">
        <f>I45</f>
        <v>73.05</v>
      </c>
      <c r="J44" s="28">
        <f>J45+J46</f>
        <v>426.70891999999998</v>
      </c>
      <c r="K44" s="28">
        <f>K45</f>
        <v>466</v>
      </c>
      <c r="L44" s="28">
        <f>L45+L46</f>
        <v>466</v>
      </c>
      <c r="M44" s="28">
        <f>M45+M46</f>
        <v>465.69051999999999</v>
      </c>
      <c r="N44" s="28">
        <f>N45+N46</f>
        <v>488.13290000000001</v>
      </c>
      <c r="O44" s="28">
        <f>O45</f>
        <v>479</v>
      </c>
      <c r="P44" s="28">
        <f>P45+P46</f>
        <v>514.63</v>
      </c>
      <c r="Q44" s="28">
        <f>Q45+Q46</f>
        <v>483.81900000000002</v>
      </c>
      <c r="R44" s="28">
        <f>R45+R46</f>
        <v>472.21930000000003</v>
      </c>
      <c r="S44" s="28">
        <f>S45</f>
        <v>479</v>
      </c>
      <c r="T44" s="28">
        <f>T45+T46</f>
        <v>452.5</v>
      </c>
      <c r="U44" s="28">
        <f>U45+U46</f>
        <v>467.87484999999998</v>
      </c>
      <c r="V44" s="28">
        <f>V45+V46</f>
        <v>453.47319000000005</v>
      </c>
      <c r="W44" s="28">
        <f>W45</f>
        <v>479</v>
      </c>
      <c r="X44" s="28">
        <f>X45+X46</f>
        <v>795.3</v>
      </c>
      <c r="Y44" s="28">
        <f>Y45+Y46</f>
        <v>859.68511000000001</v>
      </c>
      <c r="Z44" s="28">
        <f>Z45+Z46</f>
        <v>868.52254999999991</v>
      </c>
      <c r="AA44" s="28">
        <f>AA45</f>
        <v>479</v>
      </c>
      <c r="AB44" s="28">
        <f>AB45+AB46</f>
        <v>479</v>
      </c>
      <c r="AC44" s="28">
        <f>AC45+AC46</f>
        <v>531.16895999999997</v>
      </c>
      <c r="AD44" s="28">
        <f>AD45+AD46</f>
        <v>532.06996000000004</v>
      </c>
      <c r="AE44" s="28">
        <f>AE45</f>
        <v>496</v>
      </c>
      <c r="AF44" s="28">
        <f>AF45+AF46</f>
        <v>355</v>
      </c>
      <c r="AG44" s="28">
        <f>AG45+AG46</f>
        <v>449.14004</v>
      </c>
      <c r="AH44" s="28">
        <f>AH45+AH46</f>
        <v>422.36896000000002</v>
      </c>
      <c r="AI44" s="28">
        <f>AI45</f>
        <v>0</v>
      </c>
      <c r="AJ44" s="28">
        <f>AJ45</f>
        <v>0</v>
      </c>
      <c r="AK44" s="28">
        <f>AK45</f>
        <v>0</v>
      </c>
      <c r="AL44" s="28">
        <f>AL45+AL46</f>
        <v>5.7</v>
      </c>
      <c r="AM44" s="28">
        <f>AM45+AM46</f>
        <v>5.7052300000000002</v>
      </c>
      <c r="AN44" s="28">
        <f>AN45+AN46</f>
        <v>0</v>
      </c>
      <c r="AO44" s="28">
        <f>AO45</f>
        <v>0</v>
      </c>
      <c r="AP44" s="28">
        <f>AP45</f>
        <v>0</v>
      </c>
      <c r="AQ44" s="28">
        <f>AQ45</f>
        <v>0</v>
      </c>
      <c r="AR44" s="28">
        <f>AR45+AR46</f>
        <v>228.9</v>
      </c>
      <c r="AS44" s="28">
        <f>AS45+AS46</f>
        <v>616.9</v>
      </c>
      <c r="AT44" s="28">
        <f>AT45+AT46</f>
        <v>620.05816000000004</v>
      </c>
      <c r="AU44" s="28">
        <f>AU45+AU46</f>
        <v>177.54406</v>
      </c>
      <c r="AV44" s="28">
        <f>AV45</f>
        <v>0</v>
      </c>
      <c r="AW44" s="28">
        <f>AW45</f>
        <v>0</v>
      </c>
      <c r="AX44" s="28">
        <f>AX45</f>
        <v>0</v>
      </c>
      <c r="AY44" s="28">
        <f t="shared" ref="AY44" si="56">AY45</f>
        <v>0</v>
      </c>
      <c r="AZ44" s="28">
        <v>207.2</v>
      </c>
      <c r="BA44" s="29">
        <v>207.2</v>
      </c>
      <c r="BB44" s="29">
        <v>207.2</v>
      </c>
      <c r="BC44" s="29">
        <v>207.2</v>
      </c>
      <c r="BD44" s="30">
        <f t="shared" si="9"/>
        <v>207.2</v>
      </c>
      <c r="BE44" s="30">
        <v>100</v>
      </c>
      <c r="BF44" s="29">
        <f>BF45+BF46</f>
        <v>207.21969999999999</v>
      </c>
      <c r="BG44" s="29">
        <f>BG45+BG46</f>
        <v>41.277889999999999</v>
      </c>
      <c r="BH44" s="30">
        <f t="shared" si="11"/>
        <v>33.419397302988479</v>
      </c>
      <c r="BI44" s="30">
        <v>100</v>
      </c>
      <c r="BJ44" s="30">
        <f t="shared" si="13"/>
        <v>100.00950772200771</v>
      </c>
      <c r="BK44" s="28">
        <f>BK45</f>
        <v>0</v>
      </c>
      <c r="BL44" s="31">
        <f t="shared" si="15"/>
        <v>0</v>
      </c>
      <c r="BM44" s="31" t="e">
        <f t="shared" si="16"/>
        <v>#DIV/0!</v>
      </c>
      <c r="BN44" s="28">
        <f>BN45</f>
        <v>0</v>
      </c>
      <c r="BO44" s="31" t="e">
        <f t="shared" si="17"/>
        <v>#DIV/0!</v>
      </c>
      <c r="BP44" s="31" t="e">
        <f t="shared" si="18"/>
        <v>#DIV/0!</v>
      </c>
      <c r="BQ44" s="28">
        <f>BQ45</f>
        <v>0</v>
      </c>
      <c r="BR44" s="31" t="e">
        <f t="shared" si="19"/>
        <v>#DIV/0!</v>
      </c>
    </row>
    <row r="45" spans="1:71" ht="27.75" hidden="1" customHeight="1" x14ac:dyDescent="0.3">
      <c r="A45" s="19" t="s">
        <v>141</v>
      </c>
      <c r="B45" s="47" t="s">
        <v>142</v>
      </c>
      <c r="C45" s="31">
        <v>45.497</v>
      </c>
      <c r="D45" s="31">
        <v>466</v>
      </c>
      <c r="E45" s="31">
        <v>466</v>
      </c>
      <c r="F45" s="31">
        <v>460.25583999999998</v>
      </c>
      <c r="G45" s="31">
        <v>466</v>
      </c>
      <c r="H45" s="31">
        <v>426</v>
      </c>
      <c r="I45" s="31">
        <v>73.05</v>
      </c>
      <c r="J45" s="31">
        <v>420.12410999999997</v>
      </c>
      <c r="K45" s="31">
        <v>466</v>
      </c>
      <c r="L45" s="31">
        <v>466</v>
      </c>
      <c r="M45" s="31">
        <v>465.69051999999999</v>
      </c>
      <c r="N45" s="31">
        <v>488.13290000000001</v>
      </c>
      <c r="O45" s="31">
        <v>479</v>
      </c>
      <c r="P45" s="31">
        <v>479</v>
      </c>
      <c r="Q45" s="31">
        <v>448.18900000000002</v>
      </c>
      <c r="R45" s="31">
        <v>464.28500000000003</v>
      </c>
      <c r="S45" s="31">
        <v>479</v>
      </c>
      <c r="T45" s="31">
        <v>446.2</v>
      </c>
      <c r="U45" s="31">
        <v>461.565</v>
      </c>
      <c r="V45" s="31">
        <v>448.51960000000003</v>
      </c>
      <c r="W45" s="31">
        <v>479</v>
      </c>
      <c r="X45" s="31">
        <v>379</v>
      </c>
      <c r="Y45" s="31">
        <v>443.35856000000001</v>
      </c>
      <c r="Z45" s="31">
        <v>454.25713999999999</v>
      </c>
      <c r="AA45" s="31">
        <v>479</v>
      </c>
      <c r="AB45" s="31">
        <v>479</v>
      </c>
      <c r="AC45" s="31">
        <v>531.16895999999997</v>
      </c>
      <c r="AD45" s="31">
        <v>532.06996000000004</v>
      </c>
      <c r="AE45" s="31">
        <v>496</v>
      </c>
      <c r="AF45" s="31">
        <v>355</v>
      </c>
      <c r="AG45" s="31">
        <v>449.07243999999997</v>
      </c>
      <c r="AH45" s="31">
        <v>422.36896000000002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/>
      <c r="AO45" s="31">
        <v>0</v>
      </c>
      <c r="AP45" s="31">
        <v>0</v>
      </c>
      <c r="AQ45" s="31">
        <v>0</v>
      </c>
      <c r="AR45" s="31">
        <v>33.5</v>
      </c>
      <c r="AS45" s="31">
        <v>33.5</v>
      </c>
      <c r="AT45" s="31">
        <v>33.470500000000001</v>
      </c>
      <c r="AU45" s="31">
        <v>0</v>
      </c>
      <c r="AV45" s="31">
        <v>0</v>
      </c>
      <c r="AW45" s="31">
        <v>0</v>
      </c>
      <c r="AX45" s="31">
        <v>0</v>
      </c>
      <c r="AY45" s="31"/>
      <c r="AZ45" s="31"/>
      <c r="BA45" s="30"/>
      <c r="BB45" s="30"/>
      <c r="BC45" s="30"/>
      <c r="BD45" s="30">
        <f t="shared" si="9"/>
        <v>0</v>
      </c>
      <c r="BE45" s="30" t="e">
        <f t="shared" si="10"/>
        <v>#DIV/0!</v>
      </c>
      <c r="BF45" s="30">
        <v>0</v>
      </c>
      <c r="BG45" s="30">
        <v>0</v>
      </c>
      <c r="BH45" s="30">
        <f t="shared" si="11"/>
        <v>0</v>
      </c>
      <c r="BI45" s="30" t="e">
        <f t="shared" si="12"/>
        <v>#DIV/0!</v>
      </c>
      <c r="BJ45" s="30" t="e">
        <f t="shared" si="13"/>
        <v>#DIV/0!</v>
      </c>
      <c r="BK45" s="31">
        <v>0</v>
      </c>
      <c r="BL45" s="31" t="e">
        <f t="shared" si="15"/>
        <v>#DIV/0!</v>
      </c>
      <c r="BM45" s="31" t="e">
        <f t="shared" si="16"/>
        <v>#DIV/0!</v>
      </c>
      <c r="BN45" s="31">
        <v>0</v>
      </c>
      <c r="BO45" s="31" t="e">
        <f t="shared" si="17"/>
        <v>#DIV/0!</v>
      </c>
      <c r="BP45" s="31" t="e">
        <f t="shared" si="18"/>
        <v>#DIV/0!</v>
      </c>
      <c r="BQ45" s="31">
        <v>0</v>
      </c>
      <c r="BR45" s="31" t="e">
        <f t="shared" si="19"/>
        <v>#DIV/0!</v>
      </c>
    </row>
    <row r="46" spans="1:71" ht="27.75" hidden="1" customHeight="1" x14ac:dyDescent="0.3">
      <c r="A46" s="19" t="s">
        <v>143</v>
      </c>
      <c r="B46" s="47" t="s">
        <v>144</v>
      </c>
      <c r="C46" s="31">
        <v>0</v>
      </c>
      <c r="D46" s="31">
        <v>0</v>
      </c>
      <c r="E46" s="31">
        <v>66.8</v>
      </c>
      <c r="F46" s="31">
        <v>66.746799999999993</v>
      </c>
      <c r="G46" s="31">
        <v>0</v>
      </c>
      <c r="H46" s="31">
        <v>6</v>
      </c>
      <c r="I46" s="31">
        <v>0</v>
      </c>
      <c r="J46" s="31">
        <v>6.5848100000000001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35.630000000000003</v>
      </c>
      <c r="Q46" s="31">
        <v>35.630000000000003</v>
      </c>
      <c r="R46" s="31">
        <v>7.9343000000000004</v>
      </c>
      <c r="S46" s="31">
        <v>0</v>
      </c>
      <c r="T46" s="31">
        <v>6.3</v>
      </c>
      <c r="U46" s="31">
        <v>6.30985</v>
      </c>
      <c r="V46" s="31">
        <v>4.9535900000000002</v>
      </c>
      <c r="W46" s="31">
        <v>0</v>
      </c>
      <c r="X46" s="31">
        <v>416.3</v>
      </c>
      <c r="Y46" s="31">
        <v>416.32655</v>
      </c>
      <c r="Z46" s="31">
        <f>414.26541</f>
        <v>414.26540999999997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6.7599999999999993E-2</v>
      </c>
      <c r="AH46" s="31">
        <v>0</v>
      </c>
      <c r="AI46" s="31">
        <v>0</v>
      </c>
      <c r="AJ46" s="31">
        <v>0</v>
      </c>
      <c r="AK46" s="31">
        <v>0</v>
      </c>
      <c r="AL46" s="31">
        <v>5.7</v>
      </c>
      <c r="AM46" s="31">
        <v>5.7052300000000002</v>
      </c>
      <c r="AN46" s="31">
        <v>0</v>
      </c>
      <c r="AO46" s="31">
        <v>0</v>
      </c>
      <c r="AP46" s="31">
        <v>0</v>
      </c>
      <c r="AQ46" s="31">
        <v>0</v>
      </c>
      <c r="AR46" s="31">
        <v>195.4</v>
      </c>
      <c r="AS46" s="31">
        <v>583.4</v>
      </c>
      <c r="AT46" s="31">
        <v>586.58766000000003</v>
      </c>
      <c r="AU46" s="31">
        <v>177.54406</v>
      </c>
      <c r="AV46" s="31">
        <v>0</v>
      </c>
      <c r="AW46" s="31">
        <v>0</v>
      </c>
      <c r="AX46" s="31">
        <v>0</v>
      </c>
      <c r="AY46" s="31"/>
      <c r="AZ46" s="31"/>
      <c r="BA46" s="30"/>
      <c r="BB46" s="30">
        <v>207.2</v>
      </c>
      <c r="BC46" s="30">
        <v>207.2</v>
      </c>
      <c r="BD46" s="30">
        <f t="shared" si="9"/>
        <v>207.2</v>
      </c>
      <c r="BE46" s="30" t="e">
        <f t="shared" si="10"/>
        <v>#DIV/0!</v>
      </c>
      <c r="BF46" s="30">
        <v>207.21969999999999</v>
      </c>
      <c r="BG46" s="30">
        <v>41.277889999999999</v>
      </c>
      <c r="BH46" s="30">
        <f t="shared" si="11"/>
        <v>35.326297181226074</v>
      </c>
      <c r="BI46" s="30" t="e">
        <f t="shared" si="12"/>
        <v>#DIV/0!</v>
      </c>
      <c r="BJ46" s="30">
        <f t="shared" si="13"/>
        <v>100.00950772200771</v>
      </c>
      <c r="BK46" s="31">
        <v>0</v>
      </c>
      <c r="BL46" s="31">
        <f t="shared" si="15"/>
        <v>0</v>
      </c>
      <c r="BM46" s="31" t="e">
        <f t="shared" si="16"/>
        <v>#DIV/0!</v>
      </c>
      <c r="BN46" s="31">
        <v>0</v>
      </c>
      <c r="BO46" s="31" t="e">
        <f t="shared" si="17"/>
        <v>#DIV/0!</v>
      </c>
      <c r="BP46" s="31" t="e">
        <f t="shared" si="18"/>
        <v>#DIV/0!</v>
      </c>
      <c r="BQ46" s="31">
        <v>0</v>
      </c>
      <c r="BR46" s="31" t="e">
        <f t="shared" si="19"/>
        <v>#DIV/0!</v>
      </c>
      <c r="BS46" s="49"/>
    </row>
    <row r="47" spans="1:71" ht="27.75" hidden="1" customHeight="1" x14ac:dyDescent="0.3">
      <c r="A47" s="19"/>
      <c r="B47" s="47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0"/>
      <c r="BB47" s="30"/>
      <c r="BC47" s="30"/>
      <c r="BD47" s="30">
        <f t="shared" si="9"/>
        <v>0</v>
      </c>
      <c r="BE47" s="30" t="e">
        <f t="shared" si="10"/>
        <v>#DIV/0!</v>
      </c>
      <c r="BF47" s="30"/>
      <c r="BG47" s="30"/>
      <c r="BH47" s="30" t="e">
        <f t="shared" si="11"/>
        <v>#DIV/0!</v>
      </c>
      <c r="BI47" s="30" t="e">
        <f t="shared" si="12"/>
        <v>#DIV/0!</v>
      </c>
      <c r="BJ47" s="30" t="e">
        <f t="shared" si="13"/>
        <v>#DIV/0!</v>
      </c>
      <c r="BK47" s="31"/>
      <c r="BL47" s="31" t="e">
        <f t="shared" si="15"/>
        <v>#DIV/0!</v>
      </c>
      <c r="BM47" s="31" t="e">
        <f t="shared" si="16"/>
        <v>#DIV/0!</v>
      </c>
      <c r="BN47" s="31"/>
      <c r="BO47" s="31" t="e">
        <f t="shared" si="17"/>
        <v>#DIV/0!</v>
      </c>
      <c r="BP47" s="31" t="e">
        <f t="shared" si="18"/>
        <v>#DIV/0!</v>
      </c>
      <c r="BQ47" s="31"/>
      <c r="BR47" s="31" t="e">
        <f t="shared" si="19"/>
        <v>#DIV/0!</v>
      </c>
    </row>
    <row r="48" spans="1:71" ht="39.75" customHeight="1" x14ac:dyDescent="0.3">
      <c r="A48" s="26" t="s">
        <v>145</v>
      </c>
      <c r="B48" s="27" t="s">
        <v>146</v>
      </c>
      <c r="C48" s="28">
        <f>C51+C49</f>
        <v>207.22739999999999</v>
      </c>
      <c r="D48" s="28">
        <f>D52+D49</f>
        <v>0</v>
      </c>
      <c r="E48" s="28">
        <f>E52+E49+E50+E51</f>
        <v>2722.7</v>
      </c>
      <c r="F48" s="28">
        <f>SUM(F49:F52)</f>
        <v>2549.8662100000001</v>
      </c>
      <c r="G48" s="28">
        <f>G51+G49+G52</f>
        <v>636</v>
      </c>
      <c r="H48" s="28">
        <f>H51+H49+H50+H52</f>
        <v>1464.2</v>
      </c>
      <c r="I48" s="28">
        <f>I51+I49+I50</f>
        <v>72.031999999999996</v>
      </c>
      <c r="J48" s="28">
        <f>SUM(J49:J52)</f>
        <v>1469.6835599999999</v>
      </c>
      <c r="K48" s="28">
        <f>K51+K49+K52</f>
        <v>102.5</v>
      </c>
      <c r="L48" s="28">
        <f>L51+L49+L50+L52</f>
        <v>1468.7</v>
      </c>
      <c r="M48" s="28">
        <f>SUM(M49:M52)</f>
        <v>1468.7505999999998</v>
      </c>
      <c r="N48" s="28">
        <f>SUM(N49:N52)</f>
        <v>-12420.900070000002</v>
      </c>
      <c r="O48" s="28">
        <f>O51+O49+O52</f>
        <v>102.5</v>
      </c>
      <c r="P48" s="28">
        <f>P51+P49+P50+P52</f>
        <v>733.39</v>
      </c>
      <c r="Q48" s="28">
        <f>SUM(Q49:Q52)</f>
        <v>740.21966999999995</v>
      </c>
      <c r="R48" s="28">
        <f>SUM(R49:R52)</f>
        <v>-39755.218769999999</v>
      </c>
      <c r="S48" s="28">
        <f>S51+S49+S52</f>
        <v>102.5</v>
      </c>
      <c r="T48" s="28">
        <f>T51+T49+T50+T52</f>
        <v>349.3</v>
      </c>
      <c r="U48" s="28">
        <f>SUM(U49:U52)</f>
        <v>383.13405</v>
      </c>
      <c r="V48" s="28">
        <f>SUM(V49:V52)</f>
        <v>-1033.1835299999998</v>
      </c>
      <c r="W48" s="28">
        <f>W51+W49+W52</f>
        <v>117.5</v>
      </c>
      <c r="X48" s="28">
        <f>X51+X49+X50+X52</f>
        <v>785.9</v>
      </c>
      <c r="Y48" s="28">
        <f>SUM(Y49:Y52)</f>
        <v>786.98738000000003</v>
      </c>
      <c r="Z48" s="28">
        <f>SUM(Z49:Z52)</f>
        <v>-45567.944639999994</v>
      </c>
      <c r="AA48" s="28">
        <f>AA51+AA49+AA52</f>
        <v>132.5</v>
      </c>
      <c r="AB48" s="28">
        <f>AB51+AB49+AB50+AB52</f>
        <v>130.9</v>
      </c>
      <c r="AC48" s="28">
        <f>SUM(AC49:AC52)</f>
        <v>142.10562000000002</v>
      </c>
      <c r="AD48" s="28">
        <f>SUM(AD49:AD52)+AD30+AD23</f>
        <v>-327.54944</v>
      </c>
      <c r="AE48" s="28">
        <f>AE51+AE49+AE52</f>
        <v>125</v>
      </c>
      <c r="AF48" s="28">
        <f>AF51+AF49+AF50+AF52</f>
        <v>425</v>
      </c>
      <c r="AG48" s="28">
        <f>SUM(AG49:AG52)</f>
        <v>431.79791</v>
      </c>
      <c r="AH48" s="28">
        <f>SUM(AH49:AH52)+AH30+AH23</f>
        <v>-36.848149999999976</v>
      </c>
      <c r="AI48" s="28">
        <f>AI51+AI49+AI52</f>
        <v>148</v>
      </c>
      <c r="AJ48" s="28">
        <f>AJ51+AJ49+AJ52</f>
        <v>56</v>
      </c>
      <c r="AK48" s="28">
        <f>AK51+AK49+AK52</f>
        <v>25</v>
      </c>
      <c r="AL48" s="28">
        <f>AL51+AL49+AL52</f>
        <v>223.2</v>
      </c>
      <c r="AM48" s="28">
        <f>SUM(AM49:AM52)</f>
        <v>256.61957000000001</v>
      </c>
      <c r="AN48" s="28">
        <f>SUM(AN49:AN52)+AN30+AN23</f>
        <v>74.990319999999997</v>
      </c>
      <c r="AO48" s="28">
        <f>AO51+AO49+AO52</f>
        <v>53.8</v>
      </c>
      <c r="AP48" s="28">
        <f>AP51+AP49+AP52</f>
        <v>25</v>
      </c>
      <c r="AQ48" s="28">
        <f>AQ51+AQ49+AQ52</f>
        <v>25</v>
      </c>
      <c r="AR48" s="28">
        <f>AR51+AR49+AR52</f>
        <v>3795.2000000000003</v>
      </c>
      <c r="AS48" s="28">
        <f>SUM(AS49:AS52)</f>
        <v>3795.2000000000003</v>
      </c>
      <c r="AT48" s="28">
        <f>SUM(AT49:AT52)+AT30+AT23</f>
        <v>3814.3917699999997</v>
      </c>
      <c r="AU48" s="28">
        <f>SUM(AU49:AU52)+AU30+AU23+AU43</f>
        <v>-31507.42641</v>
      </c>
      <c r="AV48" s="28">
        <f>AV51+AV49+AV52</f>
        <v>31.5</v>
      </c>
      <c r="AW48" s="28">
        <f>AW51+AW49+AW52</f>
        <v>28.8</v>
      </c>
      <c r="AX48" s="28">
        <f>AX51+AX49+AX52</f>
        <v>36</v>
      </c>
      <c r="AY48" s="28">
        <v>31.5</v>
      </c>
      <c r="AZ48" s="28">
        <v>83.7</v>
      </c>
      <c r="BA48" s="29">
        <v>83.7</v>
      </c>
      <c r="BB48" s="29">
        <v>83.7</v>
      </c>
      <c r="BC48" s="29">
        <f>BC49+BC52</f>
        <v>98.399999999999991</v>
      </c>
      <c r="BD48" s="30">
        <f t="shared" si="9"/>
        <v>66.899999999999991</v>
      </c>
      <c r="BE48" s="30">
        <f t="shared" si="10"/>
        <v>312.38095238095235</v>
      </c>
      <c r="BF48" s="29">
        <f>BF51+BF49+BF52</f>
        <v>98.354939999999999</v>
      </c>
      <c r="BG48" s="29">
        <f>SUM(BG49:BG52)+BG30+BG23+BG43</f>
        <v>-74794.873049999995</v>
      </c>
      <c r="BH48" s="30">
        <f t="shared" si="11"/>
        <v>2.5785222371114753</v>
      </c>
      <c r="BI48" s="30">
        <f t="shared" si="12"/>
        <v>312.23790476190476</v>
      </c>
      <c r="BJ48" s="30">
        <f t="shared" si="13"/>
        <v>99.95420731707317</v>
      </c>
      <c r="BK48" s="28">
        <f>BK51+BK49+BK52</f>
        <v>64.8</v>
      </c>
      <c r="BL48" s="31">
        <f t="shared" si="15"/>
        <v>65.883828509274664</v>
      </c>
      <c r="BM48" s="31">
        <f t="shared" si="16"/>
        <v>225</v>
      </c>
      <c r="BN48" s="28">
        <f>BN51+BN49+BN52</f>
        <v>34.6</v>
      </c>
      <c r="BO48" s="31">
        <f t="shared" si="17"/>
        <v>53.395061728395063</v>
      </c>
      <c r="BP48" s="31">
        <f t="shared" si="18"/>
        <v>96.111111111111114</v>
      </c>
      <c r="BQ48" s="28">
        <f>BQ51+BQ49+BQ52</f>
        <v>54</v>
      </c>
      <c r="BR48" s="31">
        <f t="shared" si="19"/>
        <v>156.06936416184971</v>
      </c>
    </row>
    <row r="49" spans="1:72" ht="27.75" hidden="1" customHeight="1" x14ac:dyDescent="0.3">
      <c r="A49" s="19" t="s">
        <v>147</v>
      </c>
      <c r="B49" s="46" t="s">
        <v>148</v>
      </c>
      <c r="C49" s="31">
        <v>107</v>
      </c>
      <c r="D49" s="31">
        <v>0</v>
      </c>
      <c r="E49" s="31">
        <v>1640</v>
      </c>
      <c r="F49" s="31">
        <v>1461.7820099999999</v>
      </c>
      <c r="G49" s="31">
        <v>500</v>
      </c>
      <c r="H49" s="31">
        <v>980.5</v>
      </c>
      <c r="I49" s="31">
        <v>25</v>
      </c>
      <c r="J49" s="31">
        <v>980.47654999999997</v>
      </c>
      <c r="K49" s="31">
        <v>0</v>
      </c>
      <c r="L49" s="31">
        <v>1116.2</v>
      </c>
      <c r="M49" s="31">
        <v>1116.22036</v>
      </c>
      <c r="N49" s="31">
        <f>5022.17315</f>
        <v>5022.1731499999996</v>
      </c>
      <c r="O49" s="31">
        <v>0</v>
      </c>
      <c r="P49" s="31">
        <v>237.9</v>
      </c>
      <c r="Q49" s="31">
        <v>237.91779</v>
      </c>
      <c r="R49" s="31">
        <f>-40257.52065</f>
        <v>-40257.520649999999</v>
      </c>
      <c r="S49" s="31">
        <v>0</v>
      </c>
      <c r="T49" s="31">
        <v>103.8</v>
      </c>
      <c r="U49" s="31">
        <f>137.16174</f>
        <v>137.16174000000001</v>
      </c>
      <c r="V49" s="31">
        <f>657.69677-1936.85261</f>
        <v>-1279.1558399999999</v>
      </c>
      <c r="W49" s="31">
        <v>0</v>
      </c>
      <c r="X49" s="31">
        <v>527.1</v>
      </c>
      <c r="Y49" s="31">
        <v>527.10296000000005</v>
      </c>
      <c r="Z49" s="31">
        <f>426.42627-45806.77263+1.27975</f>
        <v>-45379.066609999994</v>
      </c>
      <c r="AA49" s="31">
        <v>0</v>
      </c>
      <c r="AB49" s="31">
        <v>99.4</v>
      </c>
      <c r="AC49" s="31">
        <v>99.422610000000006</v>
      </c>
      <c r="AD49" s="31">
        <v>0</v>
      </c>
      <c r="AE49" s="31">
        <v>0</v>
      </c>
      <c r="AF49" s="31">
        <v>126.1</v>
      </c>
      <c r="AG49" s="31">
        <v>126.08416</v>
      </c>
      <c r="AH49" s="31">
        <v>-0.41345999999999999</v>
      </c>
      <c r="AI49" s="31">
        <v>125</v>
      </c>
      <c r="AJ49" s="31">
        <v>31</v>
      </c>
      <c r="AK49" s="31">
        <v>0</v>
      </c>
      <c r="AL49" s="31">
        <v>158.69999999999999</v>
      </c>
      <c r="AM49" s="31">
        <v>188.22855000000001</v>
      </c>
      <c r="AN49" s="31"/>
      <c r="AO49" s="31">
        <v>30</v>
      </c>
      <c r="AP49" s="31">
        <v>0</v>
      </c>
      <c r="AQ49" s="31">
        <v>0</v>
      </c>
      <c r="AR49" s="31">
        <v>1718.8</v>
      </c>
      <c r="AS49" s="31">
        <v>1718.8</v>
      </c>
      <c r="AT49" s="31">
        <v>1826.83338</v>
      </c>
      <c r="AU49" s="31">
        <f>27.75811-27.75811+2677.99098-821.6576-20528.04394</f>
        <v>-18671.71056</v>
      </c>
      <c r="AV49" s="31">
        <v>0</v>
      </c>
      <c r="AW49" s="31">
        <v>0</v>
      </c>
      <c r="AX49" s="31">
        <v>0</v>
      </c>
      <c r="AY49" s="31"/>
      <c r="AZ49" s="31"/>
      <c r="BA49" s="30"/>
      <c r="BB49" s="30">
        <v>30.3</v>
      </c>
      <c r="BC49" s="30">
        <v>30.3</v>
      </c>
      <c r="BD49" s="30">
        <f t="shared" si="9"/>
        <v>30.3</v>
      </c>
      <c r="BE49" s="30" t="e">
        <f t="shared" si="10"/>
        <v>#DIV/0!</v>
      </c>
      <c r="BF49" s="30">
        <v>30.293130000000001</v>
      </c>
      <c r="BG49" s="30">
        <v>-3447.7164299999999</v>
      </c>
      <c r="BH49" s="30">
        <f t="shared" si="11"/>
        <v>1.6582316883217887</v>
      </c>
      <c r="BI49" s="30" t="e">
        <f t="shared" si="12"/>
        <v>#DIV/0!</v>
      </c>
      <c r="BJ49" s="30">
        <f t="shared" si="13"/>
        <v>99.977326732673262</v>
      </c>
      <c r="BK49" s="31">
        <v>0</v>
      </c>
      <c r="BL49" s="31">
        <f t="shared" si="15"/>
        <v>0</v>
      </c>
      <c r="BM49" s="31" t="e">
        <f t="shared" si="16"/>
        <v>#DIV/0!</v>
      </c>
      <c r="BN49" s="31">
        <v>0</v>
      </c>
      <c r="BO49" s="31" t="e">
        <f t="shared" si="17"/>
        <v>#DIV/0!</v>
      </c>
      <c r="BP49" s="31" t="e">
        <f t="shared" si="18"/>
        <v>#DIV/0!</v>
      </c>
      <c r="BQ49" s="31">
        <v>0</v>
      </c>
      <c r="BR49" s="31" t="e">
        <f t="shared" si="19"/>
        <v>#DIV/0!</v>
      </c>
      <c r="BS49" s="50"/>
      <c r="BT49" s="49"/>
    </row>
    <row r="50" spans="1:72" ht="42.75" hidden="1" customHeight="1" x14ac:dyDescent="0.3">
      <c r="A50" s="19" t="s">
        <v>149</v>
      </c>
      <c r="B50" s="46" t="s">
        <v>150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35.031999999999996</v>
      </c>
      <c r="J50" s="31">
        <v>0</v>
      </c>
      <c r="K50" s="31">
        <v>0</v>
      </c>
      <c r="L50" s="31">
        <v>0</v>
      </c>
      <c r="M50" s="31">
        <v>0</v>
      </c>
      <c r="N50" s="31">
        <f>-22019.64407-26655.16344+32212.14451</f>
        <v>-16462.663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31">
        <v>0</v>
      </c>
      <c r="AH50" s="31">
        <v>0</v>
      </c>
      <c r="AI50" s="31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0</v>
      </c>
      <c r="AT50" s="31">
        <v>0</v>
      </c>
      <c r="AU50" s="31">
        <v>0</v>
      </c>
      <c r="AV50" s="31">
        <v>0</v>
      </c>
      <c r="AW50" s="31">
        <v>0</v>
      </c>
      <c r="AX50" s="31">
        <v>0</v>
      </c>
      <c r="AY50" s="31"/>
      <c r="AZ50" s="31"/>
      <c r="BA50" s="30"/>
      <c r="BB50" s="30"/>
      <c r="BC50" s="30"/>
      <c r="BD50" s="30">
        <f t="shared" si="9"/>
        <v>0</v>
      </c>
      <c r="BE50" s="30" t="e">
        <f t="shared" si="10"/>
        <v>#DIV/0!</v>
      </c>
      <c r="BF50" s="30">
        <v>0</v>
      </c>
      <c r="BG50" s="30">
        <v>-71265.626659999994</v>
      </c>
      <c r="BH50" s="30" t="e">
        <f t="shared" si="11"/>
        <v>#DIV/0!</v>
      </c>
      <c r="BI50" s="30" t="e">
        <f t="shared" si="12"/>
        <v>#DIV/0!</v>
      </c>
      <c r="BJ50" s="30" t="e">
        <f t="shared" si="13"/>
        <v>#DIV/0!</v>
      </c>
      <c r="BK50" s="31">
        <v>0</v>
      </c>
      <c r="BL50" s="31" t="e">
        <f t="shared" si="15"/>
        <v>#DIV/0!</v>
      </c>
      <c r="BM50" s="31" t="e">
        <f t="shared" si="16"/>
        <v>#DIV/0!</v>
      </c>
      <c r="BN50" s="31">
        <v>0</v>
      </c>
      <c r="BO50" s="31" t="e">
        <f t="shared" si="17"/>
        <v>#DIV/0!</v>
      </c>
      <c r="BP50" s="31" t="e">
        <f t="shared" si="18"/>
        <v>#DIV/0!</v>
      </c>
      <c r="BQ50" s="31">
        <v>0</v>
      </c>
      <c r="BR50" s="31" t="e">
        <f t="shared" si="19"/>
        <v>#DIV/0!</v>
      </c>
    </row>
    <row r="51" spans="1:72" ht="27.75" hidden="1" customHeight="1" x14ac:dyDescent="0.3">
      <c r="A51" s="19" t="s">
        <v>151</v>
      </c>
      <c r="B51" s="46" t="s">
        <v>152</v>
      </c>
      <c r="C51" s="31">
        <v>100.2274</v>
      </c>
      <c r="D51" s="31"/>
      <c r="E51" s="31">
        <v>877.4</v>
      </c>
      <c r="F51" s="31">
        <v>210.60955000000001</v>
      </c>
      <c r="G51" s="31">
        <v>0</v>
      </c>
      <c r="H51" s="31">
        <v>327.9</v>
      </c>
      <c r="I51" s="31">
        <v>12</v>
      </c>
      <c r="J51" s="31">
        <v>327.86198000000002</v>
      </c>
      <c r="K51" s="31">
        <v>0</v>
      </c>
      <c r="L51" s="31">
        <v>198.3</v>
      </c>
      <c r="M51" s="31">
        <v>198.32443000000001</v>
      </c>
      <c r="N51" s="31">
        <v>-1123.8371299999999</v>
      </c>
      <c r="O51" s="31"/>
      <c r="P51" s="31"/>
      <c r="Q51" s="31"/>
      <c r="R51" s="31"/>
      <c r="S51" s="31"/>
      <c r="T51" s="31"/>
      <c r="U51" s="31"/>
      <c r="V51" s="31"/>
      <c r="W51" s="31"/>
      <c r="X51" s="31">
        <v>67.3</v>
      </c>
      <c r="Y51" s="31">
        <v>67.314369999999997</v>
      </c>
      <c r="Z51" s="31">
        <v>-381.44808</v>
      </c>
      <c r="AA51" s="31"/>
      <c r="AB51" s="31">
        <v>0</v>
      </c>
      <c r="AC51" s="31"/>
      <c r="AD51" s="31">
        <v>0</v>
      </c>
      <c r="AE51" s="31"/>
      <c r="AF51" s="31">
        <v>0</v>
      </c>
      <c r="AG51" s="31"/>
      <c r="AH51" s="31">
        <v>0</v>
      </c>
      <c r="AI51" s="31"/>
      <c r="AJ51" s="31"/>
      <c r="AK51" s="31"/>
      <c r="AL51" s="31"/>
      <c r="AM51" s="31"/>
      <c r="AN51" s="31">
        <v>0</v>
      </c>
      <c r="AO51" s="31"/>
      <c r="AP51" s="31"/>
      <c r="AQ51" s="31"/>
      <c r="AR51" s="31">
        <v>1732.5</v>
      </c>
      <c r="AS51" s="31">
        <v>1732.5</v>
      </c>
      <c r="AT51" s="31">
        <v>1732.4999399999999</v>
      </c>
      <c r="AU51" s="31">
        <f>2907.48622-17125.8915</f>
        <v>-14218.405280000003</v>
      </c>
      <c r="AV51" s="31"/>
      <c r="AW51" s="31"/>
      <c r="AX51" s="31"/>
      <c r="AY51" s="31"/>
      <c r="AZ51" s="31"/>
      <c r="BA51" s="30"/>
      <c r="BB51" s="30"/>
      <c r="BC51" s="30"/>
      <c r="BD51" s="30">
        <f t="shared" si="9"/>
        <v>0</v>
      </c>
      <c r="BE51" s="30" t="e">
        <f t="shared" si="10"/>
        <v>#DIV/0!</v>
      </c>
      <c r="BF51" s="30"/>
      <c r="BG51" s="30"/>
      <c r="BH51" s="30">
        <f t="shared" si="11"/>
        <v>0</v>
      </c>
      <c r="BI51" s="30" t="e">
        <f t="shared" si="12"/>
        <v>#DIV/0!</v>
      </c>
      <c r="BJ51" s="30" t="e">
        <f t="shared" si="13"/>
        <v>#DIV/0!</v>
      </c>
      <c r="BK51" s="31"/>
      <c r="BL51" s="31" t="e">
        <f t="shared" si="15"/>
        <v>#DIV/0!</v>
      </c>
      <c r="BM51" s="31" t="e">
        <f t="shared" si="16"/>
        <v>#DIV/0!</v>
      </c>
      <c r="BN51" s="31"/>
      <c r="BO51" s="31" t="e">
        <f t="shared" si="17"/>
        <v>#DIV/0!</v>
      </c>
      <c r="BP51" s="31" t="e">
        <f t="shared" si="18"/>
        <v>#DIV/0!</v>
      </c>
      <c r="BQ51" s="31"/>
      <c r="BR51" s="31" t="e">
        <f t="shared" si="19"/>
        <v>#DIV/0!</v>
      </c>
    </row>
    <row r="52" spans="1:72" ht="27.75" hidden="1" customHeight="1" x14ac:dyDescent="0.3">
      <c r="A52" s="19" t="s">
        <v>153</v>
      </c>
      <c r="B52" s="46" t="s">
        <v>154</v>
      </c>
      <c r="C52" s="31">
        <v>0</v>
      </c>
      <c r="D52" s="31">
        <v>0</v>
      </c>
      <c r="E52" s="31">
        <v>205.3</v>
      </c>
      <c r="F52" s="31">
        <v>877.47465</v>
      </c>
      <c r="G52" s="31">
        <v>136</v>
      </c>
      <c r="H52" s="31">
        <v>155.80000000000001</v>
      </c>
      <c r="I52" s="31"/>
      <c r="J52" s="31">
        <v>161.34503000000001</v>
      </c>
      <c r="K52" s="31">
        <v>102.5</v>
      </c>
      <c r="L52" s="31">
        <v>154.19999999999999</v>
      </c>
      <c r="M52" s="31">
        <v>154.20581000000001</v>
      </c>
      <c r="N52" s="31">
        <v>143.42690999999999</v>
      </c>
      <c r="O52" s="31">
        <v>102.5</v>
      </c>
      <c r="P52" s="31">
        <v>495.49</v>
      </c>
      <c r="Q52" s="31">
        <v>502.30187999999998</v>
      </c>
      <c r="R52" s="31">
        <v>502.30187999999998</v>
      </c>
      <c r="S52" s="31">
        <v>102.5</v>
      </c>
      <c r="T52" s="31">
        <v>245.5</v>
      </c>
      <c r="U52" s="31">
        <v>245.97230999999999</v>
      </c>
      <c r="V52" s="31">
        <v>245.97230999999999</v>
      </c>
      <c r="W52" s="31">
        <v>117.5</v>
      </c>
      <c r="X52" s="31">
        <v>191.5</v>
      </c>
      <c r="Y52" s="31">
        <v>192.57005000000001</v>
      </c>
      <c r="Z52" s="31">
        <v>192.57005000000001</v>
      </c>
      <c r="AA52" s="31">
        <v>132.5</v>
      </c>
      <c r="AB52" s="31">
        <v>31.5</v>
      </c>
      <c r="AC52" s="31">
        <v>42.683010000000003</v>
      </c>
      <c r="AD52" s="31">
        <v>47.471800000000002</v>
      </c>
      <c r="AE52" s="31">
        <v>125</v>
      </c>
      <c r="AF52" s="31">
        <v>298.89999999999998</v>
      </c>
      <c r="AG52" s="31">
        <v>305.71375</v>
      </c>
      <c r="AH52" s="31">
        <v>268.25481000000002</v>
      </c>
      <c r="AI52" s="31">
        <v>23</v>
      </c>
      <c r="AJ52" s="31">
        <v>25</v>
      </c>
      <c r="AK52" s="31">
        <v>25</v>
      </c>
      <c r="AL52" s="31">
        <v>64.5</v>
      </c>
      <c r="AM52" s="31">
        <v>68.391019999999997</v>
      </c>
      <c r="AN52" s="31">
        <v>101.06117</v>
      </c>
      <c r="AO52" s="31">
        <v>23.8</v>
      </c>
      <c r="AP52" s="31">
        <v>25</v>
      </c>
      <c r="AQ52" s="31">
        <v>25</v>
      </c>
      <c r="AR52" s="31">
        <v>343.9</v>
      </c>
      <c r="AS52" s="31">
        <v>343.9</v>
      </c>
      <c r="AT52" s="31">
        <v>255.05844999999999</v>
      </c>
      <c r="AU52" s="31">
        <f>414.08154-414.08154</f>
        <v>0</v>
      </c>
      <c r="AV52" s="31">
        <v>31.5</v>
      </c>
      <c r="AW52" s="31">
        <v>28.8</v>
      </c>
      <c r="AX52" s="31">
        <v>36</v>
      </c>
      <c r="AY52" s="31"/>
      <c r="AZ52" s="31"/>
      <c r="BA52" s="30"/>
      <c r="BB52" s="30">
        <v>53.4</v>
      </c>
      <c r="BC52" s="30">
        <v>68.099999999999994</v>
      </c>
      <c r="BD52" s="30">
        <f t="shared" si="9"/>
        <v>36.599999999999994</v>
      </c>
      <c r="BE52" s="30">
        <f t="shared" si="10"/>
        <v>216.19047619047618</v>
      </c>
      <c r="BF52" s="30">
        <v>68.061809999999994</v>
      </c>
      <c r="BG52" s="30">
        <v>187.90376000000001</v>
      </c>
      <c r="BH52" s="30">
        <f t="shared" si="11"/>
        <v>26.684789310058143</v>
      </c>
      <c r="BI52" s="30">
        <f t="shared" si="12"/>
        <v>216.06923809523809</v>
      </c>
      <c r="BJ52" s="30">
        <f t="shared" si="13"/>
        <v>99.943920704845809</v>
      </c>
      <c r="BK52" s="31">
        <v>64.8</v>
      </c>
      <c r="BL52" s="31">
        <f t="shared" si="15"/>
        <v>95.20757676000683</v>
      </c>
      <c r="BM52" s="31">
        <f t="shared" si="16"/>
        <v>225</v>
      </c>
      <c r="BN52" s="31">
        <v>34.6</v>
      </c>
      <c r="BO52" s="31">
        <f t="shared" si="17"/>
        <v>53.395061728395063</v>
      </c>
      <c r="BP52" s="31">
        <f t="shared" si="18"/>
        <v>96.111111111111114</v>
      </c>
      <c r="BQ52" s="31">
        <v>54</v>
      </c>
      <c r="BR52" s="31">
        <f t="shared" si="19"/>
        <v>156.06936416184971</v>
      </c>
    </row>
    <row r="53" spans="1:72" ht="23.25" customHeight="1" x14ac:dyDescent="0.3">
      <c r="A53" s="26" t="s">
        <v>155</v>
      </c>
      <c r="B53" s="51" t="s">
        <v>156</v>
      </c>
      <c r="C53" s="28">
        <f>C55+C56+C58</f>
        <v>10.72987</v>
      </c>
      <c r="D53" s="28">
        <f>D55+D56</f>
        <v>0</v>
      </c>
      <c r="E53" s="28">
        <f>E55+E56+E59+E54</f>
        <v>120.3</v>
      </c>
      <c r="F53" s="28">
        <f>SUM(F55:F59)</f>
        <v>23.656280000000002</v>
      </c>
      <c r="G53" s="28">
        <f>G55+G56</f>
        <v>0</v>
      </c>
      <c r="H53" s="28">
        <f>H55+H56+H54</f>
        <v>0</v>
      </c>
      <c r="I53" s="28">
        <f>I55+I56</f>
        <v>0</v>
      </c>
      <c r="J53" s="28">
        <f>SUM(J55:J59)</f>
        <v>0</v>
      </c>
      <c r="K53" s="28">
        <f>K55+K56</f>
        <v>0</v>
      </c>
      <c r="L53" s="28">
        <f>L55+L56+L54</f>
        <v>3647</v>
      </c>
      <c r="M53" s="28">
        <f>SUM(M55:M59)</f>
        <v>3646.97208</v>
      </c>
      <c r="N53" s="28">
        <f>SUM(N55:N59)</f>
        <v>3646.97208</v>
      </c>
      <c r="O53" s="28"/>
      <c r="P53" s="28"/>
      <c r="Q53" s="28"/>
      <c r="R53" s="28"/>
      <c r="S53" s="28"/>
      <c r="T53" s="28"/>
      <c r="U53" s="28"/>
      <c r="V53" s="28"/>
      <c r="W53" s="28"/>
      <c r="X53" s="28">
        <f>X56</f>
        <v>1</v>
      </c>
      <c r="Y53" s="28">
        <f>Y56</f>
        <v>4</v>
      </c>
      <c r="Z53" s="28">
        <f>Z56</f>
        <v>4</v>
      </c>
      <c r="AA53" s="28"/>
      <c r="AB53" s="28">
        <f>AB56+AB58</f>
        <v>28</v>
      </c>
      <c r="AC53" s="28">
        <f>AC56+AC58</f>
        <v>28</v>
      </c>
      <c r="AD53" s="28">
        <f>AD56+AD58+AD60</f>
        <v>27.4</v>
      </c>
      <c r="AE53" s="28"/>
      <c r="AF53" s="28">
        <f>AF56+AF58</f>
        <v>45.1</v>
      </c>
      <c r="AG53" s="28">
        <f>AG56+AG58</f>
        <v>45.10913</v>
      </c>
      <c r="AH53" s="28">
        <f>AH56+AH58+AH60+AH57</f>
        <v>79.749129999999994</v>
      </c>
      <c r="AI53" s="28"/>
      <c r="AJ53" s="28"/>
      <c r="AK53" s="28"/>
      <c r="AL53" s="28">
        <f>AL56+AL57</f>
        <v>70</v>
      </c>
      <c r="AM53" s="28">
        <f>AM56+AM57</f>
        <v>69.954440000000005</v>
      </c>
      <c r="AN53" s="28">
        <f>AN56+AN58+AN60+AN57</f>
        <v>68.3904</v>
      </c>
      <c r="AO53" s="28"/>
      <c r="AP53" s="28"/>
      <c r="AQ53" s="28"/>
      <c r="AR53" s="28">
        <f>AR56+AR57</f>
        <v>118.7</v>
      </c>
      <c r="AS53" s="28">
        <f>AS56+AS57</f>
        <v>118.7</v>
      </c>
      <c r="AT53" s="28">
        <f>AT56+AT58+AT60+AT57</f>
        <v>185.25019</v>
      </c>
      <c r="AU53" s="28">
        <f>AU56+AU58+AU60+AU57</f>
        <v>185.25019</v>
      </c>
      <c r="AV53" s="28"/>
      <c r="AW53" s="28"/>
      <c r="AX53" s="28"/>
      <c r="AY53" s="28"/>
      <c r="AZ53" s="28">
        <v>5</v>
      </c>
      <c r="BA53" s="29">
        <v>5</v>
      </c>
      <c r="BB53" s="29">
        <v>5</v>
      </c>
      <c r="BC53" s="29">
        <f>BC56</f>
        <v>6</v>
      </c>
      <c r="BD53" s="30">
        <f t="shared" si="9"/>
        <v>6</v>
      </c>
      <c r="BE53" s="30">
        <v>100</v>
      </c>
      <c r="BF53" s="29">
        <f>BF56</f>
        <v>6</v>
      </c>
      <c r="BG53" s="29">
        <f>BG56+BG58+BG60+BG57</f>
        <v>6</v>
      </c>
      <c r="BH53" s="30">
        <f t="shared" si="11"/>
        <v>3.2388630748502871</v>
      </c>
      <c r="BI53" s="30">
        <v>100</v>
      </c>
      <c r="BJ53" s="30">
        <f t="shared" si="13"/>
        <v>100</v>
      </c>
      <c r="BK53" s="28"/>
      <c r="BL53" s="31">
        <f t="shared" si="15"/>
        <v>0</v>
      </c>
      <c r="BM53" s="31" t="e">
        <f t="shared" si="16"/>
        <v>#DIV/0!</v>
      </c>
      <c r="BN53" s="28"/>
      <c r="BO53" s="31" t="e">
        <f t="shared" si="17"/>
        <v>#DIV/0!</v>
      </c>
      <c r="BP53" s="31" t="e">
        <f t="shared" si="18"/>
        <v>#DIV/0!</v>
      </c>
      <c r="BQ53" s="28"/>
      <c r="BR53" s="31" t="e">
        <f t="shared" si="19"/>
        <v>#DIV/0!</v>
      </c>
    </row>
    <row r="54" spans="1:72" ht="27.75" hidden="1" customHeight="1" x14ac:dyDescent="0.3">
      <c r="A54" s="19" t="s">
        <v>157</v>
      </c>
      <c r="B54" s="46" t="s">
        <v>158</v>
      </c>
      <c r="C54" s="31">
        <v>0</v>
      </c>
      <c r="D54" s="31"/>
      <c r="E54" s="31">
        <v>96.6</v>
      </c>
      <c r="F54" s="31">
        <v>96.557090000000002</v>
      </c>
      <c r="G54" s="31"/>
      <c r="H54" s="31">
        <v>0</v>
      </c>
      <c r="I54" s="31"/>
      <c r="J54" s="31">
        <v>0</v>
      </c>
      <c r="K54" s="31"/>
      <c r="L54" s="31">
        <v>0</v>
      </c>
      <c r="M54" s="31">
        <v>0</v>
      </c>
      <c r="N54" s="31">
        <v>0</v>
      </c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0"/>
      <c r="BB54" s="30"/>
      <c r="BC54" s="30"/>
      <c r="BD54" s="30">
        <f t="shared" si="9"/>
        <v>0</v>
      </c>
      <c r="BE54" s="30" t="e">
        <f t="shared" si="10"/>
        <v>#DIV/0!</v>
      </c>
      <c r="BF54" s="30"/>
      <c r="BG54" s="30"/>
      <c r="BH54" s="30" t="e">
        <f t="shared" si="11"/>
        <v>#DIV/0!</v>
      </c>
      <c r="BI54" s="30" t="e">
        <f t="shared" si="12"/>
        <v>#DIV/0!</v>
      </c>
      <c r="BJ54" s="30" t="e">
        <f t="shared" si="13"/>
        <v>#DIV/0!</v>
      </c>
      <c r="BK54" s="31"/>
      <c r="BL54" s="31" t="e">
        <f t="shared" si="15"/>
        <v>#DIV/0!</v>
      </c>
      <c r="BM54" s="31" t="e">
        <f t="shared" si="16"/>
        <v>#DIV/0!</v>
      </c>
      <c r="BN54" s="31"/>
      <c r="BO54" s="31" t="e">
        <f t="shared" si="17"/>
        <v>#DIV/0!</v>
      </c>
      <c r="BP54" s="31" t="e">
        <f t="shared" si="18"/>
        <v>#DIV/0!</v>
      </c>
      <c r="BQ54" s="31"/>
      <c r="BR54" s="31" t="e">
        <f t="shared" si="19"/>
        <v>#DIV/0!</v>
      </c>
    </row>
    <row r="55" spans="1:72" ht="27.75" hidden="1" customHeight="1" x14ac:dyDescent="0.3">
      <c r="A55" s="19" t="s">
        <v>159</v>
      </c>
      <c r="B55" s="46" t="s">
        <v>160</v>
      </c>
      <c r="C55" s="31">
        <v>10.72987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3626.8</v>
      </c>
      <c r="M55" s="31">
        <v>3626.752</v>
      </c>
      <c r="N55" s="31">
        <v>3626.752</v>
      </c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0"/>
      <c r="BB55" s="30"/>
      <c r="BC55" s="30"/>
      <c r="BD55" s="30">
        <f t="shared" si="9"/>
        <v>0</v>
      </c>
      <c r="BE55" s="30" t="e">
        <f t="shared" si="10"/>
        <v>#DIV/0!</v>
      </c>
      <c r="BF55" s="30"/>
      <c r="BG55" s="30"/>
      <c r="BH55" s="30" t="e">
        <f t="shared" si="11"/>
        <v>#DIV/0!</v>
      </c>
      <c r="BI55" s="30" t="e">
        <f t="shared" si="12"/>
        <v>#DIV/0!</v>
      </c>
      <c r="BJ55" s="30" t="e">
        <f t="shared" si="13"/>
        <v>#DIV/0!</v>
      </c>
      <c r="BK55" s="31"/>
      <c r="BL55" s="31" t="e">
        <f t="shared" si="15"/>
        <v>#DIV/0!</v>
      </c>
      <c r="BM55" s="31" t="e">
        <f t="shared" si="16"/>
        <v>#DIV/0!</v>
      </c>
      <c r="BN55" s="31"/>
      <c r="BO55" s="31" t="e">
        <f t="shared" si="17"/>
        <v>#DIV/0!</v>
      </c>
      <c r="BP55" s="31" t="e">
        <f t="shared" si="18"/>
        <v>#DIV/0!</v>
      </c>
      <c r="BQ55" s="31"/>
      <c r="BR55" s="31" t="e">
        <f t="shared" si="19"/>
        <v>#DIV/0!</v>
      </c>
    </row>
    <row r="56" spans="1:72" ht="27.75" hidden="1" customHeight="1" x14ac:dyDescent="0.3">
      <c r="A56" s="19" t="s">
        <v>161</v>
      </c>
      <c r="B56" s="46" t="s">
        <v>162</v>
      </c>
      <c r="C56" s="31">
        <v>0</v>
      </c>
      <c r="D56" s="31">
        <v>0</v>
      </c>
      <c r="E56" s="31">
        <f>4.9+18.8</f>
        <v>23.700000000000003</v>
      </c>
      <c r="F56" s="31">
        <f>4.85628+18.8</f>
        <v>23.656280000000002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20.2</v>
      </c>
      <c r="M56" s="31">
        <v>20.220079999999999</v>
      </c>
      <c r="N56" s="31">
        <v>20.220079999999999</v>
      </c>
      <c r="O56" s="31"/>
      <c r="P56" s="31"/>
      <c r="Q56" s="31"/>
      <c r="R56" s="31"/>
      <c r="S56" s="31"/>
      <c r="T56" s="31"/>
      <c r="U56" s="31"/>
      <c r="V56" s="31"/>
      <c r="W56" s="31"/>
      <c r="X56" s="31">
        <v>1</v>
      </c>
      <c r="Y56" s="31">
        <v>4</v>
      </c>
      <c r="Z56" s="31">
        <v>4</v>
      </c>
      <c r="AA56" s="31"/>
      <c r="AB56" s="31">
        <v>10</v>
      </c>
      <c r="AC56" s="31">
        <v>10</v>
      </c>
      <c r="AD56" s="31">
        <v>10</v>
      </c>
      <c r="AE56" s="31"/>
      <c r="AF56" s="31">
        <v>42.1</v>
      </c>
      <c r="AG56" s="31">
        <v>42.10913</v>
      </c>
      <c r="AH56" s="31">
        <v>73.467309999999998</v>
      </c>
      <c r="AI56" s="31"/>
      <c r="AJ56" s="31"/>
      <c r="AK56" s="31"/>
      <c r="AL56" s="31">
        <v>68</v>
      </c>
      <c r="AM56" s="31">
        <v>67.954440000000005</v>
      </c>
      <c r="AN56" s="31">
        <v>67.790400000000005</v>
      </c>
      <c r="AO56" s="31"/>
      <c r="AP56" s="31"/>
      <c r="AQ56" s="31"/>
      <c r="AR56" s="31">
        <v>118.7</v>
      </c>
      <c r="AS56" s="31">
        <v>118.7</v>
      </c>
      <c r="AT56" s="31">
        <v>185.25019</v>
      </c>
      <c r="AU56" s="31">
        <v>185.25019</v>
      </c>
      <c r="AV56" s="31"/>
      <c r="AW56" s="31"/>
      <c r="AX56" s="31"/>
      <c r="AY56" s="31"/>
      <c r="AZ56" s="31"/>
      <c r="BA56" s="30"/>
      <c r="BB56" s="30">
        <v>5</v>
      </c>
      <c r="BC56" s="30">
        <v>6</v>
      </c>
      <c r="BD56" s="30">
        <f t="shared" si="9"/>
        <v>6</v>
      </c>
      <c r="BE56" s="30" t="e">
        <f t="shared" si="10"/>
        <v>#DIV/0!</v>
      </c>
      <c r="BF56" s="30">
        <v>6</v>
      </c>
      <c r="BG56" s="30">
        <f>21.015-15.015</f>
        <v>6</v>
      </c>
      <c r="BH56" s="30">
        <f t="shared" si="11"/>
        <v>3.2388630748502871</v>
      </c>
      <c r="BI56" s="30" t="e">
        <f t="shared" si="12"/>
        <v>#DIV/0!</v>
      </c>
      <c r="BJ56" s="30">
        <f t="shared" si="13"/>
        <v>100</v>
      </c>
      <c r="BK56" s="31"/>
      <c r="BL56" s="31">
        <f t="shared" si="15"/>
        <v>0</v>
      </c>
      <c r="BM56" s="31" t="e">
        <f t="shared" si="16"/>
        <v>#DIV/0!</v>
      </c>
      <c r="BN56" s="31"/>
      <c r="BO56" s="31" t="e">
        <f t="shared" si="17"/>
        <v>#DIV/0!</v>
      </c>
      <c r="BP56" s="31" t="e">
        <f t="shared" si="18"/>
        <v>#DIV/0!</v>
      </c>
      <c r="BQ56" s="31"/>
      <c r="BR56" s="31" t="e">
        <f t="shared" si="19"/>
        <v>#DIV/0!</v>
      </c>
    </row>
    <row r="57" spans="1:72" ht="27.75" hidden="1" customHeight="1" x14ac:dyDescent="0.3">
      <c r="A57" s="19" t="s">
        <v>163</v>
      </c>
      <c r="B57" s="46" t="s">
        <v>164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>
        <v>1.28182</v>
      </c>
      <c r="AH57" s="31">
        <v>3.2818200000000002</v>
      </c>
      <c r="AI57" s="31"/>
      <c r="AJ57" s="31"/>
      <c r="AK57" s="31"/>
      <c r="AL57" s="31">
        <v>2</v>
      </c>
      <c r="AM57" s="31">
        <v>2</v>
      </c>
      <c r="AN57" s="31">
        <v>0.6</v>
      </c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0"/>
      <c r="BB57" s="30"/>
      <c r="BC57" s="30"/>
      <c r="BD57" s="30">
        <f t="shared" si="9"/>
        <v>0</v>
      </c>
      <c r="BE57" s="30" t="e">
        <f t="shared" si="10"/>
        <v>#DIV/0!</v>
      </c>
      <c r="BF57" s="30"/>
      <c r="BG57" s="30"/>
      <c r="BH57" s="30" t="e">
        <f t="shared" si="11"/>
        <v>#DIV/0!</v>
      </c>
      <c r="BI57" s="30" t="e">
        <f t="shared" si="12"/>
        <v>#DIV/0!</v>
      </c>
      <c r="BJ57" s="30" t="e">
        <f t="shared" si="13"/>
        <v>#DIV/0!</v>
      </c>
      <c r="BK57" s="31"/>
      <c r="BL57" s="31" t="e">
        <f t="shared" si="15"/>
        <v>#DIV/0!</v>
      </c>
      <c r="BM57" s="31" t="e">
        <f t="shared" si="16"/>
        <v>#DIV/0!</v>
      </c>
      <c r="BN57" s="31"/>
      <c r="BO57" s="31" t="e">
        <f t="shared" si="17"/>
        <v>#DIV/0!</v>
      </c>
      <c r="BP57" s="31" t="e">
        <f t="shared" si="18"/>
        <v>#DIV/0!</v>
      </c>
      <c r="BQ57" s="31"/>
      <c r="BR57" s="31" t="e">
        <f t="shared" si="19"/>
        <v>#DIV/0!</v>
      </c>
    </row>
    <row r="58" spans="1:72" ht="27.75" hidden="1" customHeight="1" x14ac:dyDescent="0.3">
      <c r="A58" s="19" t="s">
        <v>165</v>
      </c>
      <c r="B58" s="46" t="s">
        <v>166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>
        <v>18</v>
      </c>
      <c r="AC58" s="31">
        <v>18</v>
      </c>
      <c r="AD58" s="31">
        <v>18</v>
      </c>
      <c r="AE58" s="31"/>
      <c r="AF58" s="31">
        <v>3</v>
      </c>
      <c r="AG58" s="31">
        <v>3</v>
      </c>
      <c r="AH58" s="31">
        <v>3</v>
      </c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0"/>
      <c r="BB58" s="30"/>
      <c r="BC58" s="30"/>
      <c r="BD58" s="30">
        <f t="shared" si="9"/>
        <v>0</v>
      </c>
      <c r="BE58" s="30" t="e">
        <f t="shared" si="10"/>
        <v>#DIV/0!</v>
      </c>
      <c r="BF58" s="30"/>
      <c r="BG58" s="30"/>
      <c r="BH58" s="30" t="e">
        <f t="shared" si="11"/>
        <v>#DIV/0!</v>
      </c>
      <c r="BI58" s="30" t="e">
        <f t="shared" si="12"/>
        <v>#DIV/0!</v>
      </c>
      <c r="BJ58" s="30" t="e">
        <f t="shared" si="13"/>
        <v>#DIV/0!</v>
      </c>
      <c r="BK58" s="31"/>
      <c r="BL58" s="31" t="e">
        <f t="shared" si="15"/>
        <v>#DIV/0!</v>
      </c>
      <c r="BM58" s="31" t="e">
        <f t="shared" si="16"/>
        <v>#DIV/0!</v>
      </c>
      <c r="BN58" s="31"/>
      <c r="BO58" s="31" t="e">
        <f t="shared" si="17"/>
        <v>#DIV/0!</v>
      </c>
      <c r="BP58" s="31" t="e">
        <f t="shared" si="18"/>
        <v>#DIV/0!</v>
      </c>
      <c r="BQ58" s="31"/>
      <c r="BR58" s="31" t="e">
        <f t="shared" si="19"/>
        <v>#DIV/0!</v>
      </c>
    </row>
    <row r="59" spans="1:72" ht="27.75" hidden="1" customHeight="1" x14ac:dyDescent="0.3">
      <c r="A59" s="19" t="s">
        <v>167</v>
      </c>
      <c r="B59" s="46" t="s">
        <v>168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0"/>
      <c r="BB59" s="30"/>
      <c r="BC59" s="30"/>
      <c r="BD59" s="30">
        <f t="shared" si="9"/>
        <v>0</v>
      </c>
      <c r="BE59" s="30" t="e">
        <f t="shared" si="10"/>
        <v>#DIV/0!</v>
      </c>
      <c r="BF59" s="30"/>
      <c r="BG59" s="30"/>
      <c r="BH59" s="30" t="e">
        <f t="shared" si="11"/>
        <v>#DIV/0!</v>
      </c>
      <c r="BI59" s="30" t="e">
        <f t="shared" si="12"/>
        <v>#DIV/0!</v>
      </c>
      <c r="BJ59" s="30" t="e">
        <f t="shared" si="13"/>
        <v>#DIV/0!</v>
      </c>
      <c r="BK59" s="31"/>
      <c r="BL59" s="31" t="e">
        <f t="shared" si="15"/>
        <v>#DIV/0!</v>
      </c>
      <c r="BM59" s="31" t="e">
        <f t="shared" si="16"/>
        <v>#DIV/0!</v>
      </c>
      <c r="BN59" s="31"/>
      <c r="BO59" s="31" t="e">
        <f t="shared" si="17"/>
        <v>#DIV/0!</v>
      </c>
      <c r="BP59" s="31" t="e">
        <f t="shared" si="18"/>
        <v>#DIV/0!</v>
      </c>
      <c r="BQ59" s="31"/>
      <c r="BR59" s="31" t="e">
        <f t="shared" si="19"/>
        <v>#DIV/0!</v>
      </c>
    </row>
    <row r="60" spans="1:72" ht="27.75" hidden="1" customHeight="1" x14ac:dyDescent="0.3">
      <c r="A60" s="19" t="s">
        <v>169</v>
      </c>
      <c r="B60" s="46" t="s">
        <v>170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>
        <v>-0.6</v>
      </c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0"/>
      <c r="BB60" s="30"/>
      <c r="BC60" s="30"/>
      <c r="BD60" s="30">
        <f t="shared" si="9"/>
        <v>0</v>
      </c>
      <c r="BE60" s="30" t="e">
        <f t="shared" si="10"/>
        <v>#DIV/0!</v>
      </c>
      <c r="BF60" s="30"/>
      <c r="BG60" s="30"/>
      <c r="BH60" s="30" t="e">
        <f t="shared" si="11"/>
        <v>#DIV/0!</v>
      </c>
      <c r="BI60" s="30" t="e">
        <f t="shared" si="12"/>
        <v>#DIV/0!</v>
      </c>
      <c r="BJ60" s="30" t="e">
        <f t="shared" si="13"/>
        <v>#DIV/0!</v>
      </c>
      <c r="BK60" s="31"/>
      <c r="BL60" s="31" t="e">
        <f t="shared" si="15"/>
        <v>#DIV/0!</v>
      </c>
      <c r="BM60" s="31" t="e">
        <f t="shared" si="16"/>
        <v>#DIV/0!</v>
      </c>
      <c r="BN60" s="31"/>
      <c r="BO60" s="31" t="e">
        <f t="shared" si="17"/>
        <v>#DIV/0!</v>
      </c>
      <c r="BP60" s="31" t="e">
        <f t="shared" si="18"/>
        <v>#DIV/0!</v>
      </c>
      <c r="BQ60" s="31"/>
      <c r="BR60" s="31" t="e">
        <f t="shared" si="19"/>
        <v>#DIV/0!</v>
      </c>
    </row>
    <row r="61" spans="1:72" ht="27.75" hidden="1" customHeight="1" x14ac:dyDescent="0.3">
      <c r="A61" s="19"/>
      <c r="B61" s="46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0"/>
      <c r="BB61" s="30"/>
      <c r="BC61" s="30"/>
      <c r="BD61" s="30">
        <f t="shared" si="9"/>
        <v>0</v>
      </c>
      <c r="BE61" s="30" t="e">
        <f t="shared" si="10"/>
        <v>#DIV/0!</v>
      </c>
      <c r="BF61" s="30"/>
      <c r="BG61" s="30"/>
      <c r="BH61" s="30" t="e">
        <f t="shared" si="11"/>
        <v>#DIV/0!</v>
      </c>
      <c r="BI61" s="30" t="e">
        <f t="shared" si="12"/>
        <v>#DIV/0!</v>
      </c>
      <c r="BJ61" s="30" t="e">
        <f t="shared" si="13"/>
        <v>#DIV/0!</v>
      </c>
      <c r="BK61" s="31"/>
      <c r="BL61" s="31" t="e">
        <f t="shared" si="15"/>
        <v>#DIV/0!</v>
      </c>
      <c r="BM61" s="31" t="e">
        <f t="shared" si="16"/>
        <v>#DIV/0!</v>
      </c>
      <c r="BN61" s="31"/>
      <c r="BO61" s="31" t="e">
        <f t="shared" si="17"/>
        <v>#DIV/0!</v>
      </c>
      <c r="BP61" s="31" t="e">
        <f t="shared" si="18"/>
        <v>#DIV/0!</v>
      </c>
      <c r="BQ61" s="31"/>
      <c r="BR61" s="31" t="e">
        <f t="shared" si="19"/>
        <v>#DIV/0!</v>
      </c>
    </row>
    <row r="62" spans="1:72" s="45" customFormat="1" ht="20.25" customHeight="1" x14ac:dyDescent="0.3">
      <c r="A62" s="26" t="s">
        <v>171</v>
      </c>
      <c r="B62" s="51" t="s">
        <v>172</v>
      </c>
      <c r="C62" s="28">
        <v>30.456569999999999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247.2</v>
      </c>
      <c r="J62" s="28">
        <v>-56.6402</v>
      </c>
      <c r="K62" s="28">
        <v>0</v>
      </c>
      <c r="L62" s="28">
        <v>0</v>
      </c>
      <c r="M62" s="28">
        <v>0</v>
      </c>
      <c r="N62" s="28">
        <v>-56.6402</v>
      </c>
      <c r="O62" s="28">
        <v>0</v>
      </c>
      <c r="P62" s="28">
        <v>0</v>
      </c>
      <c r="Q62" s="28">
        <v>353.97325000000001</v>
      </c>
      <c r="R62" s="28">
        <v>353.97325000000001</v>
      </c>
      <c r="S62" s="28">
        <v>0</v>
      </c>
      <c r="T62" s="28">
        <v>0</v>
      </c>
      <c r="U62" s="28">
        <v>-353.97325000000001</v>
      </c>
      <c r="V62" s="28">
        <v>-353.97325000000001</v>
      </c>
      <c r="W62" s="28">
        <v>0</v>
      </c>
      <c r="X62" s="28">
        <v>1.9</v>
      </c>
      <c r="Y62" s="28">
        <v>1.8520000000000001</v>
      </c>
      <c r="Z62" s="28">
        <f>1.852</f>
        <v>1.8520000000000001</v>
      </c>
      <c r="AA62" s="28">
        <v>0</v>
      </c>
      <c r="AB62" s="28">
        <v>69.5</v>
      </c>
      <c r="AC62" s="28">
        <f>16+69.49981</f>
        <v>85.499809999999997</v>
      </c>
      <c r="AD62" s="28">
        <v>69.499809999999997</v>
      </c>
      <c r="AE62" s="28">
        <v>0</v>
      </c>
      <c r="AF62" s="28">
        <v>0</v>
      </c>
      <c r="AG62" s="28">
        <v>-16</v>
      </c>
      <c r="AH62" s="28"/>
      <c r="AI62" s="28">
        <v>0</v>
      </c>
      <c r="AJ62" s="28">
        <v>0</v>
      </c>
      <c r="AK62" s="28">
        <v>0</v>
      </c>
      <c r="AL62" s="28">
        <v>0</v>
      </c>
      <c r="AM62" s="28">
        <v>2.8351299999999999</v>
      </c>
      <c r="AN62" s="28"/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-2.1351300000000002</v>
      </c>
      <c r="AU62" s="28">
        <v>0</v>
      </c>
      <c r="AV62" s="28"/>
      <c r="AW62" s="28">
        <v>0</v>
      </c>
      <c r="AX62" s="28">
        <v>0</v>
      </c>
      <c r="AY62" s="28"/>
      <c r="AZ62" s="28"/>
      <c r="BA62" s="29"/>
      <c r="BB62" s="29"/>
      <c r="BC62" s="29"/>
      <c r="BD62" s="30"/>
      <c r="BE62" s="30"/>
      <c r="BF62" s="29">
        <v>7.3335400000000002</v>
      </c>
      <c r="BG62" s="29">
        <v>0</v>
      </c>
      <c r="BH62" s="30"/>
      <c r="BI62" s="30"/>
      <c r="BJ62" s="30"/>
      <c r="BK62" s="28">
        <v>0</v>
      </c>
      <c r="BL62" s="31">
        <f t="shared" si="15"/>
        <v>0</v>
      </c>
      <c r="BM62" s="31" t="e">
        <f t="shared" si="16"/>
        <v>#DIV/0!</v>
      </c>
      <c r="BN62" s="28">
        <v>0</v>
      </c>
      <c r="BO62" s="31" t="e">
        <f t="shared" si="17"/>
        <v>#DIV/0!</v>
      </c>
      <c r="BP62" s="31" t="e">
        <f t="shared" si="18"/>
        <v>#DIV/0!</v>
      </c>
      <c r="BQ62" s="28">
        <v>0</v>
      </c>
      <c r="BR62" s="31" t="e">
        <f t="shared" si="19"/>
        <v>#DIV/0!</v>
      </c>
    </row>
    <row r="63" spans="1:72" ht="22.5" customHeight="1" x14ac:dyDescent="0.3">
      <c r="A63" s="26" t="s">
        <v>173</v>
      </c>
      <c r="B63" s="27" t="s">
        <v>174</v>
      </c>
      <c r="C63" s="28">
        <f t="shared" ref="C63:AH63" si="57">C65+C117+C111</f>
        <v>80035.849549999999</v>
      </c>
      <c r="D63" s="28">
        <f t="shared" si="57"/>
        <v>49900.700000000004</v>
      </c>
      <c r="E63" s="28">
        <f t="shared" si="57"/>
        <v>103974.1</v>
      </c>
      <c r="F63" s="28">
        <f t="shared" si="57"/>
        <v>103666.78266</v>
      </c>
      <c r="G63" s="28">
        <f t="shared" si="57"/>
        <v>63596</v>
      </c>
      <c r="H63" s="28">
        <f t="shared" si="57"/>
        <v>94185.599999999991</v>
      </c>
      <c r="I63" s="28">
        <f t="shared" si="57"/>
        <v>41822.011009999995</v>
      </c>
      <c r="J63" s="28">
        <f t="shared" si="57"/>
        <v>94163.508379999999</v>
      </c>
      <c r="K63" s="28">
        <f t="shared" si="57"/>
        <v>54722.1</v>
      </c>
      <c r="L63" s="28">
        <f t="shared" si="57"/>
        <v>70040.100000000006</v>
      </c>
      <c r="M63" s="28">
        <f t="shared" si="57"/>
        <v>70031.50735</v>
      </c>
      <c r="N63" s="28">
        <f t="shared" si="57"/>
        <v>207724.45273999998</v>
      </c>
      <c r="O63" s="28">
        <f t="shared" si="57"/>
        <v>63073.599999999999</v>
      </c>
      <c r="P63" s="28">
        <f t="shared" si="57"/>
        <v>92453.697690000001</v>
      </c>
      <c r="Q63" s="28">
        <f t="shared" si="57"/>
        <v>92453.460460000002</v>
      </c>
      <c r="R63" s="28">
        <f t="shared" si="57"/>
        <v>196359.82238999999</v>
      </c>
      <c r="S63" s="28">
        <f t="shared" si="57"/>
        <v>69047.399999999994</v>
      </c>
      <c r="T63" s="28">
        <f t="shared" si="57"/>
        <v>89639</v>
      </c>
      <c r="U63" s="28">
        <f t="shared" si="57"/>
        <v>89372.69111</v>
      </c>
      <c r="V63" s="28">
        <f t="shared" si="57"/>
        <v>168373.78026</v>
      </c>
      <c r="W63" s="28">
        <f t="shared" si="57"/>
        <v>55769.19999999999</v>
      </c>
      <c r="X63" s="28">
        <f t="shared" si="57"/>
        <v>91274.799999999988</v>
      </c>
      <c r="Y63" s="28">
        <f t="shared" si="57"/>
        <v>91274.766270000007</v>
      </c>
      <c r="Z63" s="28">
        <f t="shared" si="57"/>
        <v>114049.78082999999</v>
      </c>
      <c r="AA63" s="28">
        <f t="shared" si="57"/>
        <v>51108</v>
      </c>
      <c r="AB63" s="28">
        <f t="shared" si="57"/>
        <v>85878.340000000011</v>
      </c>
      <c r="AC63" s="28">
        <f t="shared" si="57"/>
        <v>85903.264520000012</v>
      </c>
      <c r="AD63" s="28">
        <f t="shared" si="57"/>
        <v>104067.37713000002</v>
      </c>
      <c r="AE63" s="28">
        <f t="shared" si="57"/>
        <v>52314.899999999994</v>
      </c>
      <c r="AF63" s="28">
        <f t="shared" si="57"/>
        <v>75719.599999999991</v>
      </c>
      <c r="AG63" s="28">
        <f t="shared" si="57"/>
        <v>75203.061040000001</v>
      </c>
      <c r="AH63" s="28">
        <f t="shared" si="57"/>
        <v>76292.752200000003</v>
      </c>
      <c r="AI63" s="28">
        <f t="shared" ref="AI63:BC63" si="58">AI65+AI117+AI111</f>
        <v>44557.100000000006</v>
      </c>
      <c r="AJ63" s="28">
        <f t="shared" si="58"/>
        <v>32738.1</v>
      </c>
      <c r="AK63" s="28">
        <f t="shared" si="58"/>
        <v>32398.2</v>
      </c>
      <c r="AL63" s="28">
        <f t="shared" si="58"/>
        <v>89860.400000000009</v>
      </c>
      <c r="AM63" s="28">
        <f t="shared" si="58"/>
        <v>89802.102920000005</v>
      </c>
      <c r="AN63" s="28">
        <f t="shared" si="58"/>
        <v>91301.893960000001</v>
      </c>
      <c r="AO63" s="28">
        <f t="shared" si="58"/>
        <v>49702.6</v>
      </c>
      <c r="AP63" s="28">
        <f t="shared" si="58"/>
        <v>47089.599999999999</v>
      </c>
      <c r="AQ63" s="28">
        <f t="shared" si="58"/>
        <v>46519.999999999993</v>
      </c>
      <c r="AR63" s="28">
        <f t="shared" si="58"/>
        <v>61057.1</v>
      </c>
      <c r="AS63" s="28">
        <f t="shared" si="58"/>
        <v>72423.899999999994</v>
      </c>
      <c r="AT63" s="28">
        <f t="shared" si="58"/>
        <v>72723.805670000002</v>
      </c>
      <c r="AU63" s="28">
        <f t="shared" si="58"/>
        <v>72723.805670000002</v>
      </c>
      <c r="AV63" s="28">
        <f t="shared" si="58"/>
        <v>53397.2</v>
      </c>
      <c r="AW63" s="28">
        <f t="shared" si="58"/>
        <v>37263.699999999997</v>
      </c>
      <c r="AX63" s="28">
        <f t="shared" si="58"/>
        <v>41792.899999999994</v>
      </c>
      <c r="AY63" s="28">
        <f t="shared" si="58"/>
        <v>69760.100000000006</v>
      </c>
      <c r="AZ63" s="28">
        <f t="shared" si="58"/>
        <v>81217.400000000009</v>
      </c>
      <c r="BA63" s="29">
        <f t="shared" si="58"/>
        <v>89202.5</v>
      </c>
      <c r="BB63" s="29">
        <f t="shared" si="58"/>
        <v>89430.2</v>
      </c>
      <c r="BC63" s="29">
        <f t="shared" si="58"/>
        <v>93142</v>
      </c>
      <c r="BD63" s="30">
        <f t="shared" si="9"/>
        <v>39744.800000000003</v>
      </c>
      <c r="BE63" s="30">
        <f t="shared" si="10"/>
        <v>174.43236724022984</v>
      </c>
      <c r="BF63" s="29">
        <f>BF65+BF117+BF111</f>
        <v>92779.218710000001</v>
      </c>
      <c r="BG63" s="29">
        <f>BG65+BG117+BG111</f>
        <v>92779.218710000001</v>
      </c>
      <c r="BH63" s="30">
        <f t="shared" si="11"/>
        <v>127.57750760597675</v>
      </c>
      <c r="BI63" s="30">
        <f t="shared" si="12"/>
        <v>173.75296590457927</v>
      </c>
      <c r="BJ63" s="30">
        <f t="shared" si="13"/>
        <v>99.61050730068068</v>
      </c>
      <c r="BK63" s="52">
        <f>BK65+BK117+BK111</f>
        <v>66514.3</v>
      </c>
      <c r="BL63" s="31">
        <f t="shared" si="15"/>
        <v>71.690946447720961</v>
      </c>
      <c r="BM63" s="31">
        <f t="shared" si="16"/>
        <v>178.49623091641467</v>
      </c>
      <c r="BN63" s="52">
        <f>BN65+BN117+BN111</f>
        <v>49504.1</v>
      </c>
      <c r="BO63" s="31">
        <f t="shared" si="17"/>
        <v>74.426251197110986</v>
      </c>
      <c r="BP63" s="31">
        <f t="shared" si="18"/>
        <v>118.4509809082404</v>
      </c>
      <c r="BQ63" s="52">
        <f>BQ65+BQ117+BQ111</f>
        <v>48822.3</v>
      </c>
      <c r="BR63" s="31">
        <f t="shared" si="19"/>
        <v>98.622740338679023</v>
      </c>
    </row>
    <row r="64" spans="1:72" ht="27.75" customHeight="1" x14ac:dyDescent="0.3">
      <c r="A64" s="26"/>
      <c r="B64" s="27" t="s">
        <v>75</v>
      </c>
      <c r="C64" s="28">
        <f t="shared" ref="C64:AH64" si="59">C63/C118*100</f>
        <v>76.529695493678304</v>
      </c>
      <c r="D64" s="28">
        <f t="shared" si="59"/>
        <v>72.076778747614924</v>
      </c>
      <c r="E64" s="28">
        <f t="shared" si="59"/>
        <v>81.007753749879242</v>
      </c>
      <c r="F64" s="28">
        <f t="shared" si="59"/>
        <v>79.571243744343562</v>
      </c>
      <c r="G64" s="28">
        <f t="shared" si="59"/>
        <v>74.244953710730002</v>
      </c>
      <c r="H64" s="28">
        <f t="shared" si="59"/>
        <v>79.547103392417213</v>
      </c>
      <c r="I64" s="28">
        <f t="shared" si="59"/>
        <v>91.510399064117792</v>
      </c>
      <c r="J64" s="28">
        <f t="shared" si="59"/>
        <v>79.829972661254686</v>
      </c>
      <c r="K64" s="28">
        <f t="shared" si="59"/>
        <v>69.740242858016757</v>
      </c>
      <c r="L64" s="28">
        <f t="shared" si="59"/>
        <v>71.023347218898436</v>
      </c>
      <c r="M64" s="28">
        <f t="shared" si="59"/>
        <v>70.835910371159798</v>
      </c>
      <c r="N64" s="28">
        <f t="shared" si="59"/>
        <v>96.872596517831099</v>
      </c>
      <c r="O64" s="28">
        <f t="shared" si="59"/>
        <v>72.975584020103867</v>
      </c>
      <c r="P64" s="28">
        <f t="shared" si="59"/>
        <v>79.701925460357813</v>
      </c>
      <c r="Q64" s="28">
        <f t="shared" si="59"/>
        <v>78.904023154055153</v>
      </c>
      <c r="R64" s="28">
        <f t="shared" si="59"/>
        <v>105.73061184611632</v>
      </c>
      <c r="S64" s="28">
        <f t="shared" si="59"/>
        <v>74.430030980443732</v>
      </c>
      <c r="T64" s="28">
        <f t="shared" si="59"/>
        <v>76.467150918528816</v>
      </c>
      <c r="U64" s="28">
        <f t="shared" si="59"/>
        <v>75.234631944921119</v>
      </c>
      <c r="V64" s="28">
        <f t="shared" si="59"/>
        <v>85.591928950379611</v>
      </c>
      <c r="W64" s="28">
        <f t="shared" si="59"/>
        <v>64.51684553564094</v>
      </c>
      <c r="X64" s="28">
        <f t="shared" si="59"/>
        <v>71.754041308092198</v>
      </c>
      <c r="Y64" s="28">
        <f t="shared" si="59"/>
        <v>69.884644381877166</v>
      </c>
      <c r="Z64" s="28">
        <f t="shared" si="59"/>
        <v>103.0567232337466</v>
      </c>
      <c r="AA64" s="28">
        <f t="shared" si="59"/>
        <v>60.142200506951163</v>
      </c>
      <c r="AB64" s="28">
        <f t="shared" si="59"/>
        <v>68.448623564667272</v>
      </c>
      <c r="AC64" s="28">
        <f t="shared" si="59"/>
        <v>66.904373378563506</v>
      </c>
      <c r="AD64" s="28">
        <f t="shared" si="59"/>
        <v>71.862992843196523</v>
      </c>
      <c r="AE64" s="28">
        <f t="shared" si="59"/>
        <v>58.643337077366972</v>
      </c>
      <c r="AF64" s="28">
        <f t="shared" si="59"/>
        <v>63.311655192134999</v>
      </c>
      <c r="AG64" s="28">
        <f t="shared" si="59"/>
        <v>62.515912849580332</v>
      </c>
      <c r="AH64" s="28">
        <f t="shared" si="59"/>
        <v>65.895546501345223</v>
      </c>
      <c r="AI64" s="28">
        <f t="shared" ref="AI64:BC64" si="60">AI63/AI118*100</f>
        <v>50.789303003671513</v>
      </c>
      <c r="AJ64" s="28">
        <f t="shared" si="60"/>
        <v>42.589692019888481</v>
      </c>
      <c r="AK64" s="28">
        <f t="shared" si="60"/>
        <v>42.140382094025099</v>
      </c>
      <c r="AL64" s="28">
        <f t="shared" si="60"/>
        <v>69.031413532124901</v>
      </c>
      <c r="AM64" s="28">
        <f t="shared" si="60"/>
        <v>68.809801323867447</v>
      </c>
      <c r="AN64" s="28">
        <f t="shared" si="60"/>
        <v>54.22186124686084</v>
      </c>
      <c r="AO64" s="28">
        <f t="shared" si="60"/>
        <v>56.75698205682481</v>
      </c>
      <c r="AP64" s="28">
        <f t="shared" si="60"/>
        <v>55.24477903660452</v>
      </c>
      <c r="AQ64" s="28">
        <f t="shared" si="60"/>
        <v>54.573780184509111</v>
      </c>
      <c r="AR64" s="28">
        <f t="shared" si="60"/>
        <v>56.956834445129566</v>
      </c>
      <c r="AS64" s="28">
        <f t="shared" si="60"/>
        <v>59.757221513091508</v>
      </c>
      <c r="AT64" s="28">
        <f t="shared" si="60"/>
        <v>60.953265319411052</v>
      </c>
      <c r="AU64" s="28">
        <f t="shared" si="60"/>
        <v>90.120214389568815</v>
      </c>
      <c r="AV64" s="28">
        <f t="shared" si="60"/>
        <v>58.74725364191562</v>
      </c>
      <c r="AW64" s="28">
        <f t="shared" si="60"/>
        <v>49.355109587662184</v>
      </c>
      <c r="AX64" s="28">
        <f t="shared" si="60"/>
        <v>51.904588623512304</v>
      </c>
      <c r="AY64" s="28">
        <f t="shared" si="60"/>
        <v>64.810038852522084</v>
      </c>
      <c r="AZ64" s="28">
        <f t="shared" si="60"/>
        <v>67.4790107968212</v>
      </c>
      <c r="BA64" s="29">
        <f t="shared" si="60"/>
        <v>69.178934208954857</v>
      </c>
      <c r="BB64" s="29">
        <f t="shared" si="60"/>
        <v>68.500386429248223</v>
      </c>
      <c r="BC64" s="29">
        <f t="shared" si="60"/>
        <v>68.876626670669722</v>
      </c>
      <c r="BD64" s="30"/>
      <c r="BE64" s="30"/>
      <c r="BF64" s="29">
        <f>BF63/BF118*100</f>
        <v>67.788117403443692</v>
      </c>
      <c r="BG64" s="29">
        <f>BG63/BG118*100</f>
        <v>151.52616867055255</v>
      </c>
      <c r="BH64" s="30"/>
      <c r="BI64" s="30"/>
      <c r="BJ64" s="30"/>
      <c r="BK64" s="52">
        <f>BK63/BK118*100</f>
        <v>67.534544361671777</v>
      </c>
      <c r="BL64" s="31">
        <f t="shared" si="15"/>
        <v>99.625932904637608</v>
      </c>
      <c r="BM64" s="31">
        <f t="shared" si="16"/>
        <v>136.83394672991284</v>
      </c>
      <c r="BN64" s="52">
        <f>BN63/BN118*100</f>
        <v>60.265902793671508</v>
      </c>
      <c r="BO64" s="31">
        <f t="shared" si="17"/>
        <v>89.237150207049481</v>
      </c>
      <c r="BP64" s="31">
        <f t="shared" si="18"/>
        <v>116.10900768486508</v>
      </c>
      <c r="BQ64" s="52">
        <f>BQ63/BQ118*100</f>
        <v>59.41592106159883</v>
      </c>
      <c r="BR64" s="31">
        <f t="shared" si="19"/>
        <v>98.589614205261796</v>
      </c>
    </row>
    <row r="65" spans="1:70" ht="27.75" customHeight="1" x14ac:dyDescent="0.3">
      <c r="A65" s="53" t="s">
        <v>175</v>
      </c>
      <c r="B65" s="27" t="s">
        <v>176</v>
      </c>
      <c r="C65" s="28">
        <f t="shared" ref="C65:M65" si="61">C66+C78+C69+C82</f>
        <v>75915.849549999999</v>
      </c>
      <c r="D65" s="28">
        <f t="shared" si="61"/>
        <v>49900.700000000004</v>
      </c>
      <c r="E65" s="28">
        <f t="shared" si="61"/>
        <v>97325.3</v>
      </c>
      <c r="F65" s="28">
        <f t="shared" si="61"/>
        <v>96990.379820000002</v>
      </c>
      <c r="G65" s="28">
        <f t="shared" si="61"/>
        <v>63596</v>
      </c>
      <c r="H65" s="28">
        <f t="shared" si="61"/>
        <v>85978.4</v>
      </c>
      <c r="I65" s="28">
        <f t="shared" si="61"/>
        <v>41822.011009999995</v>
      </c>
      <c r="J65" s="28">
        <f t="shared" si="61"/>
        <v>85957.865550000002</v>
      </c>
      <c r="K65" s="28">
        <f t="shared" si="61"/>
        <v>54722.1</v>
      </c>
      <c r="L65" s="28">
        <f t="shared" si="61"/>
        <v>69935.100000000006</v>
      </c>
      <c r="M65" s="28">
        <f t="shared" si="61"/>
        <v>69926.50735</v>
      </c>
      <c r="N65" s="28">
        <f>N66+N78+N69+N82+N107+N109</f>
        <v>134371.91555999999</v>
      </c>
      <c r="O65" s="28">
        <f>O66+O78+O69+O82</f>
        <v>63073.599999999999</v>
      </c>
      <c r="P65" s="28">
        <f>P66+P78+P69+P82</f>
        <v>91127.792690000002</v>
      </c>
      <c r="Q65" s="28">
        <f>Q66+Q78+Q69+Q82</f>
        <v>91127.555460000003</v>
      </c>
      <c r="R65" s="28">
        <f>R66+R78+R69+R82+R107+R109</f>
        <v>101846.48079</v>
      </c>
      <c r="S65" s="28">
        <f>S66+S78+S69+S82</f>
        <v>69047.399999999994</v>
      </c>
      <c r="T65" s="28">
        <f>T66+T78+T69+T82</f>
        <v>86234</v>
      </c>
      <c r="U65" s="28">
        <f>U66+U78+U69+U82</f>
        <v>85967.69111</v>
      </c>
      <c r="V65" s="28">
        <f>V66+V78+V69+V82+V107+V109</f>
        <v>164168.77626000001</v>
      </c>
      <c r="W65" s="28">
        <f>W66+W78+W69+W82</f>
        <v>55769.19999999999</v>
      </c>
      <c r="X65" s="28">
        <f>X66+X78+X69+X82</f>
        <v>91190.9</v>
      </c>
      <c r="Y65" s="28">
        <f>Y66+Y78+Y69+Y82</f>
        <v>91190.886270000003</v>
      </c>
      <c r="Z65" s="28">
        <f>Z66+Z78+Z69+Z82+Z107+Z109</f>
        <v>111934.16237999999</v>
      </c>
      <c r="AA65" s="28">
        <f>AA66+AA78+AA69+AA82</f>
        <v>51108</v>
      </c>
      <c r="AB65" s="28">
        <f>AB66+AB78+AB69+AB82</f>
        <v>85773.340000000011</v>
      </c>
      <c r="AC65" s="28">
        <f>AC66+AC78+AC69+AC82</f>
        <v>85789.857920000009</v>
      </c>
      <c r="AD65" s="28">
        <f>AD66+AD78+AD69+AD82+AD107+AD109</f>
        <v>94279.430370000016</v>
      </c>
      <c r="AE65" s="28">
        <f>AE66+AE78+AE69+AE82</f>
        <v>52314.899999999994</v>
      </c>
      <c r="AF65" s="28">
        <f>AF66+AF78+AF69+AF82</f>
        <v>75564.599999999991</v>
      </c>
      <c r="AG65" s="28">
        <f>AG66+AG78+AG69+AG82</f>
        <v>75053.467640000003</v>
      </c>
      <c r="AH65" s="28">
        <f>AH66+AH78+AH69+AH82+AH107+AH109</f>
        <v>75125.743140000006</v>
      </c>
      <c r="AI65" s="28">
        <f t="shared" ref="AI65:AT65" si="62">AI66+AI78+AI69+AI82</f>
        <v>44557.100000000006</v>
      </c>
      <c r="AJ65" s="28">
        <f t="shared" si="62"/>
        <v>32738.1</v>
      </c>
      <c r="AK65" s="28">
        <f t="shared" si="62"/>
        <v>32398.2</v>
      </c>
      <c r="AL65" s="28">
        <f t="shared" si="62"/>
        <v>89734.1</v>
      </c>
      <c r="AM65" s="28">
        <f t="shared" si="62"/>
        <v>89675.796310000005</v>
      </c>
      <c r="AN65" s="28">
        <f t="shared" si="62"/>
        <v>89675.796310000005</v>
      </c>
      <c r="AO65" s="28">
        <f t="shared" si="62"/>
        <v>49702.6</v>
      </c>
      <c r="AP65" s="28">
        <f t="shared" si="62"/>
        <v>47089.599999999999</v>
      </c>
      <c r="AQ65" s="28">
        <f t="shared" si="62"/>
        <v>46519.999999999993</v>
      </c>
      <c r="AR65" s="28">
        <f t="shared" si="62"/>
        <v>61057.1</v>
      </c>
      <c r="AS65" s="28">
        <f t="shared" si="62"/>
        <v>72423.899999999994</v>
      </c>
      <c r="AT65" s="28">
        <f t="shared" si="62"/>
        <v>72723.805670000002</v>
      </c>
      <c r="AU65" s="28">
        <f>AU66+AU78+AU69+AU82</f>
        <v>72723.805670000002</v>
      </c>
      <c r="AV65" s="28">
        <f t="shared" ref="AV65:BA65" si="63">AV66+AV78+AV69+AV82</f>
        <v>53397.2</v>
      </c>
      <c r="AW65" s="28">
        <f t="shared" si="63"/>
        <v>37263.699999999997</v>
      </c>
      <c r="AX65" s="28">
        <f t="shared" si="63"/>
        <v>41792.899999999994</v>
      </c>
      <c r="AY65" s="28">
        <f t="shared" si="63"/>
        <v>69760.100000000006</v>
      </c>
      <c r="AZ65" s="28">
        <f t="shared" si="63"/>
        <v>81217.400000000009</v>
      </c>
      <c r="BA65" s="29">
        <f t="shared" si="63"/>
        <v>89202.5</v>
      </c>
      <c r="BB65" s="29">
        <f>BB66+BB78+BB69+BB82</f>
        <v>89430.2</v>
      </c>
      <c r="BC65" s="29">
        <f>BC66+BC78+BC69+BC82</f>
        <v>93142</v>
      </c>
      <c r="BD65" s="30">
        <f t="shared" si="9"/>
        <v>39744.800000000003</v>
      </c>
      <c r="BE65" s="30">
        <f t="shared" si="10"/>
        <v>174.43236724022984</v>
      </c>
      <c r="BF65" s="29">
        <f>BF66+BF78+BF69+BF82</f>
        <v>92779.218710000001</v>
      </c>
      <c r="BG65" s="29">
        <f>BG66+BG78+BG69+BG82</f>
        <v>92779.218710000001</v>
      </c>
      <c r="BH65" s="30">
        <f t="shared" si="11"/>
        <v>127.57750760597675</v>
      </c>
      <c r="BI65" s="30">
        <f t="shared" si="12"/>
        <v>173.75296590457927</v>
      </c>
      <c r="BJ65" s="30">
        <f t="shared" si="13"/>
        <v>99.61050730068068</v>
      </c>
      <c r="BK65" s="52">
        <f>BK66+BK78+BK69+BK82</f>
        <v>66514.3</v>
      </c>
      <c r="BL65" s="31">
        <f t="shared" si="15"/>
        <v>71.690946447720961</v>
      </c>
      <c r="BM65" s="31">
        <f t="shared" si="16"/>
        <v>178.49623091641467</v>
      </c>
      <c r="BN65" s="52">
        <f>BN66+BN78+BN69+BN82</f>
        <v>49504.1</v>
      </c>
      <c r="BO65" s="31">
        <f t="shared" si="17"/>
        <v>74.426251197110986</v>
      </c>
      <c r="BP65" s="31">
        <f t="shared" si="18"/>
        <v>118.4509809082404</v>
      </c>
      <c r="BQ65" s="52">
        <f>BQ66+BQ78+BQ69+BQ82</f>
        <v>48822.3</v>
      </c>
      <c r="BR65" s="31">
        <f t="shared" si="19"/>
        <v>98.622740338679023</v>
      </c>
    </row>
    <row r="66" spans="1:70" ht="27.75" customHeight="1" x14ac:dyDescent="0.3">
      <c r="A66" s="26" t="s">
        <v>177</v>
      </c>
      <c r="B66" s="27" t="s">
        <v>178</v>
      </c>
      <c r="C66" s="28">
        <f t="shared" ref="C66:AL66" si="64">C67+C68</f>
        <v>60911.069000000003</v>
      </c>
      <c r="D66" s="28">
        <f t="shared" si="64"/>
        <v>48984.3</v>
      </c>
      <c r="E66" s="28">
        <f t="shared" si="64"/>
        <v>58668.9</v>
      </c>
      <c r="F66" s="28">
        <f t="shared" si="64"/>
        <v>58668.9</v>
      </c>
      <c r="G66" s="28">
        <f t="shared" si="64"/>
        <v>48614.3</v>
      </c>
      <c r="H66" s="28">
        <f t="shared" si="64"/>
        <v>55217</v>
      </c>
      <c r="I66" s="28">
        <f t="shared" si="64"/>
        <v>30007.262999999999</v>
      </c>
      <c r="J66" s="28">
        <f t="shared" si="64"/>
        <v>55216.987000000001</v>
      </c>
      <c r="K66" s="28">
        <f t="shared" si="64"/>
        <v>50220.1</v>
      </c>
      <c r="L66" s="28">
        <f t="shared" si="64"/>
        <v>57662.6</v>
      </c>
      <c r="M66" s="28">
        <f t="shared" si="64"/>
        <v>57662.635000000002</v>
      </c>
      <c r="N66" s="28">
        <f t="shared" si="64"/>
        <v>57662.635000000002</v>
      </c>
      <c r="O66" s="28">
        <f t="shared" si="64"/>
        <v>57326.6</v>
      </c>
      <c r="P66" s="28">
        <f t="shared" si="64"/>
        <v>54902.1</v>
      </c>
      <c r="Q66" s="28">
        <f t="shared" si="64"/>
        <v>54902.1</v>
      </c>
      <c r="R66" s="28">
        <f t="shared" si="64"/>
        <v>54902.1</v>
      </c>
      <c r="S66" s="28">
        <f t="shared" si="64"/>
        <v>50104.800000000003</v>
      </c>
      <c r="T66" s="28">
        <f t="shared" si="64"/>
        <v>55666.9</v>
      </c>
      <c r="U66" s="28">
        <f t="shared" si="64"/>
        <v>55666.92</v>
      </c>
      <c r="V66" s="28">
        <f t="shared" si="64"/>
        <v>55666.92</v>
      </c>
      <c r="W66" s="28">
        <f t="shared" si="64"/>
        <v>49014.299999999996</v>
      </c>
      <c r="X66" s="28">
        <f t="shared" si="64"/>
        <v>79179.899999999994</v>
      </c>
      <c r="Y66" s="28">
        <f t="shared" si="64"/>
        <v>79179.899999999994</v>
      </c>
      <c r="Z66" s="28">
        <f t="shared" si="64"/>
        <v>79179.899999999994</v>
      </c>
      <c r="AA66" s="28">
        <f>AA67+AA68</f>
        <v>47531.7</v>
      </c>
      <c r="AB66" s="28">
        <f>AB67+AB68</f>
        <v>66902.100000000006</v>
      </c>
      <c r="AC66" s="28">
        <f>AC67+AC68</f>
        <v>66902.093000000008</v>
      </c>
      <c r="AD66" s="28">
        <f>AD67+AD68</f>
        <v>66902.093000000008</v>
      </c>
      <c r="AE66" s="28">
        <f t="shared" si="64"/>
        <v>50183.199999999997</v>
      </c>
      <c r="AF66" s="28">
        <f t="shared" si="64"/>
        <v>53767.7</v>
      </c>
      <c r="AG66" s="28">
        <f t="shared" si="64"/>
        <v>53767.722999999998</v>
      </c>
      <c r="AH66" s="28">
        <f t="shared" si="64"/>
        <v>53767.722999999998</v>
      </c>
      <c r="AI66" s="28">
        <f t="shared" si="64"/>
        <v>41274.600000000006</v>
      </c>
      <c r="AJ66" s="28">
        <f t="shared" si="64"/>
        <v>29830.6</v>
      </c>
      <c r="AK66" s="28">
        <f t="shared" si="64"/>
        <v>29477.7</v>
      </c>
      <c r="AL66" s="28">
        <f t="shared" si="64"/>
        <v>56630.5</v>
      </c>
      <c r="AM66" s="28">
        <f>AM67+AM68</f>
        <v>56630.473000000005</v>
      </c>
      <c r="AN66" s="28">
        <f>AN67+AN68</f>
        <v>56630.473000000005</v>
      </c>
      <c r="AO66" s="28">
        <f t="shared" ref="AO66:AR66" si="65">AO67+AO68</f>
        <v>45940.7</v>
      </c>
      <c r="AP66" s="28">
        <f t="shared" si="65"/>
        <v>45030.5</v>
      </c>
      <c r="AQ66" s="28">
        <f t="shared" si="65"/>
        <v>44456.6</v>
      </c>
      <c r="AR66" s="28">
        <f t="shared" si="65"/>
        <v>7031.2</v>
      </c>
      <c r="AS66" s="28">
        <f>AS67+AS68</f>
        <v>7031.2</v>
      </c>
      <c r="AT66" s="28">
        <f>AT67+AT68</f>
        <v>7031.2</v>
      </c>
      <c r="AU66" s="28">
        <f>AU67+AU68</f>
        <v>7031.2</v>
      </c>
      <c r="AV66" s="28">
        <f t="shared" ref="AV66:AZ66" si="66">AV67+AV68</f>
        <v>7541.2</v>
      </c>
      <c r="AW66" s="28">
        <f>AW67+AW68</f>
        <v>7541.2</v>
      </c>
      <c r="AX66" s="28">
        <f t="shared" ref="AX66" si="67">AX67+AX68</f>
        <v>7626.9</v>
      </c>
      <c r="AY66" s="28">
        <f t="shared" si="66"/>
        <v>7541.2</v>
      </c>
      <c r="AZ66" s="28">
        <f t="shared" si="66"/>
        <v>7541.2</v>
      </c>
      <c r="BA66" s="29">
        <v>7541.2</v>
      </c>
      <c r="BB66" s="29">
        <v>7541.2</v>
      </c>
      <c r="BC66" s="29">
        <v>7541.2</v>
      </c>
      <c r="BD66" s="30">
        <f t="shared" si="9"/>
        <v>0</v>
      </c>
      <c r="BE66" s="30">
        <f t="shared" si="10"/>
        <v>100</v>
      </c>
      <c r="BF66" s="29">
        <f t="shared" ref="BF66" si="68">BF67+BF68</f>
        <v>7541.2</v>
      </c>
      <c r="BG66" s="29">
        <f>BG67+BG68</f>
        <v>7541.2</v>
      </c>
      <c r="BH66" s="30">
        <f t="shared" si="11"/>
        <v>107.25338491295938</v>
      </c>
      <c r="BI66" s="30">
        <f t="shared" si="12"/>
        <v>100</v>
      </c>
      <c r="BJ66" s="30">
        <f t="shared" si="13"/>
        <v>100</v>
      </c>
      <c r="BK66" s="52">
        <f t="shared" ref="BK66" si="69">BK67+BK68</f>
        <v>8121.3</v>
      </c>
      <c r="BL66" s="31">
        <f t="shared" si="15"/>
        <v>107.69240969606959</v>
      </c>
      <c r="BM66" s="31">
        <f t="shared" si="16"/>
        <v>107.69240969606959</v>
      </c>
      <c r="BN66" s="52">
        <f>BN67+BN68</f>
        <v>8004.9</v>
      </c>
      <c r="BO66" s="31">
        <f t="shared" si="17"/>
        <v>98.566731927154521</v>
      </c>
      <c r="BP66" s="31">
        <f t="shared" si="18"/>
        <v>104.95614207607285</v>
      </c>
      <c r="BQ66" s="52">
        <f t="shared" ref="BQ66" si="70">BQ67+BQ68</f>
        <v>7865.1</v>
      </c>
      <c r="BR66" s="31">
        <f t="shared" si="19"/>
        <v>98.253569688565761</v>
      </c>
    </row>
    <row r="67" spans="1:70" ht="27.75" hidden="1" customHeight="1" x14ac:dyDescent="0.3">
      <c r="A67" s="19" t="s">
        <v>179</v>
      </c>
      <c r="B67" s="46" t="s">
        <v>180</v>
      </c>
      <c r="C67" s="31">
        <v>9327.7999999999993</v>
      </c>
      <c r="D67" s="31">
        <v>9705.7999999999993</v>
      </c>
      <c r="E67" s="31">
        <v>9823</v>
      </c>
      <c r="F67" s="31">
        <v>9823</v>
      </c>
      <c r="G67" s="31">
        <v>48614.3</v>
      </c>
      <c r="H67" s="31">
        <v>8929.5</v>
      </c>
      <c r="I67" s="31">
        <v>8051.9</v>
      </c>
      <c r="J67" s="31">
        <v>8929.5</v>
      </c>
      <c r="K67" s="31">
        <v>7142.4</v>
      </c>
      <c r="L67" s="31">
        <v>7142.4</v>
      </c>
      <c r="M67" s="31">
        <v>7142.4</v>
      </c>
      <c r="N67" s="31">
        <v>7142.4</v>
      </c>
      <c r="O67" s="31">
        <v>9371.4</v>
      </c>
      <c r="P67" s="31">
        <v>9371.4</v>
      </c>
      <c r="Q67" s="31">
        <v>9371.4</v>
      </c>
      <c r="R67" s="31">
        <v>9371.4</v>
      </c>
      <c r="S67" s="31">
        <v>10405.9</v>
      </c>
      <c r="T67" s="31">
        <v>10749.4</v>
      </c>
      <c r="U67" s="31">
        <v>10749.4</v>
      </c>
      <c r="V67" s="31">
        <v>10749.4</v>
      </c>
      <c r="W67" s="31">
        <v>6201.2</v>
      </c>
      <c r="X67" s="31">
        <v>6201.2</v>
      </c>
      <c r="Y67" s="31">
        <v>6201.2</v>
      </c>
      <c r="Z67" s="31">
        <v>6201.2</v>
      </c>
      <c r="AA67" s="31">
        <v>6198.6</v>
      </c>
      <c r="AB67" s="31">
        <v>6198.6</v>
      </c>
      <c r="AC67" s="31">
        <v>6198.6</v>
      </c>
      <c r="AD67" s="31">
        <v>6198.6</v>
      </c>
      <c r="AE67" s="31">
        <v>6407.1</v>
      </c>
      <c r="AF67" s="31">
        <v>6407.1</v>
      </c>
      <c r="AG67" s="31">
        <v>6407.1</v>
      </c>
      <c r="AH67" s="31">
        <v>6407.1</v>
      </c>
      <c r="AI67" s="31">
        <v>6679.3</v>
      </c>
      <c r="AJ67" s="31">
        <v>6679.3</v>
      </c>
      <c r="AK67" s="31">
        <v>6679.3</v>
      </c>
      <c r="AL67" s="31">
        <v>6679.3</v>
      </c>
      <c r="AM67" s="31">
        <v>6679.3</v>
      </c>
      <c r="AN67" s="31">
        <v>6679.3</v>
      </c>
      <c r="AO67" s="31">
        <v>7031.2</v>
      </c>
      <c r="AP67" s="31">
        <v>7031.2</v>
      </c>
      <c r="AQ67" s="31">
        <v>7031.2</v>
      </c>
      <c r="AR67" s="31">
        <v>7031.2</v>
      </c>
      <c r="AS67" s="31">
        <v>7031.2</v>
      </c>
      <c r="AT67" s="31">
        <v>7031.2</v>
      </c>
      <c r="AU67" s="31">
        <v>7031.2</v>
      </c>
      <c r="AV67" s="31">
        <v>7541.2</v>
      </c>
      <c r="AW67" s="31">
        <v>7541.2</v>
      </c>
      <c r="AX67" s="31">
        <v>7626.9</v>
      </c>
      <c r="AY67" s="31">
        <v>7541.2</v>
      </c>
      <c r="AZ67" s="31">
        <v>7541.2</v>
      </c>
      <c r="BA67" s="30"/>
      <c r="BB67" s="30">
        <v>7541.2</v>
      </c>
      <c r="BC67" s="30">
        <v>7541.2</v>
      </c>
      <c r="BD67" s="30">
        <f t="shared" si="9"/>
        <v>0</v>
      </c>
      <c r="BE67" s="30">
        <f t="shared" si="10"/>
        <v>100</v>
      </c>
      <c r="BF67" s="30">
        <v>7541.2</v>
      </c>
      <c r="BG67" s="30">
        <v>7541.2</v>
      </c>
      <c r="BH67" s="30">
        <f t="shared" si="11"/>
        <v>107.25338491295938</v>
      </c>
      <c r="BI67" s="30">
        <f t="shared" si="12"/>
        <v>100</v>
      </c>
      <c r="BJ67" s="30">
        <f t="shared" si="13"/>
        <v>100</v>
      </c>
      <c r="BK67" s="54">
        <v>8121.3</v>
      </c>
      <c r="BL67" s="31">
        <f t="shared" si="15"/>
        <v>107.69240969606959</v>
      </c>
      <c r="BM67" s="31">
        <f t="shared" si="16"/>
        <v>107.69240969606959</v>
      </c>
      <c r="BN67" s="54">
        <v>8004.9</v>
      </c>
      <c r="BO67" s="31">
        <f t="shared" si="17"/>
        <v>98.566731927154521</v>
      </c>
      <c r="BP67" s="31">
        <f t="shared" si="18"/>
        <v>104.95614207607285</v>
      </c>
      <c r="BQ67" s="54">
        <v>7865.1</v>
      </c>
      <c r="BR67" s="31">
        <f t="shared" si="19"/>
        <v>98.253569688565761</v>
      </c>
    </row>
    <row r="68" spans="1:70" ht="27.75" hidden="1" customHeight="1" x14ac:dyDescent="0.3">
      <c r="A68" s="19" t="s">
        <v>181</v>
      </c>
      <c r="B68" s="46" t="s">
        <v>182</v>
      </c>
      <c r="C68" s="31">
        <v>51583.269</v>
      </c>
      <c r="D68" s="31">
        <v>39278.5</v>
      </c>
      <c r="E68" s="31">
        <v>48845.9</v>
      </c>
      <c r="F68" s="31">
        <v>48845.9</v>
      </c>
      <c r="G68" s="31">
        <v>0</v>
      </c>
      <c r="H68" s="31">
        <v>46287.5</v>
      </c>
      <c r="I68" s="31">
        <v>21955.363000000001</v>
      </c>
      <c r="J68" s="31">
        <v>46287.487000000001</v>
      </c>
      <c r="K68" s="31">
        <v>43077.7</v>
      </c>
      <c r="L68" s="31">
        <v>50520.2</v>
      </c>
      <c r="M68" s="31">
        <v>50520.235000000001</v>
      </c>
      <c r="N68" s="31">
        <v>50520.235000000001</v>
      </c>
      <c r="O68" s="31">
        <v>47955.199999999997</v>
      </c>
      <c r="P68" s="31">
        <v>45530.7</v>
      </c>
      <c r="Q68" s="31">
        <v>45530.7</v>
      </c>
      <c r="R68" s="31">
        <v>45530.7</v>
      </c>
      <c r="S68" s="31">
        <v>39698.9</v>
      </c>
      <c r="T68" s="31">
        <v>44917.5</v>
      </c>
      <c r="U68" s="31">
        <v>44917.52</v>
      </c>
      <c r="V68" s="31">
        <v>44917.52</v>
      </c>
      <c r="W68" s="31">
        <v>42813.1</v>
      </c>
      <c r="X68" s="31">
        <v>72978.7</v>
      </c>
      <c r="Y68" s="31">
        <v>72978.7</v>
      </c>
      <c r="Z68" s="31">
        <v>72978.7</v>
      </c>
      <c r="AA68" s="31">
        <v>41333.1</v>
      </c>
      <c r="AB68" s="31">
        <v>60703.5</v>
      </c>
      <c r="AC68" s="31">
        <v>60703.493000000002</v>
      </c>
      <c r="AD68" s="31">
        <v>60703.493000000002</v>
      </c>
      <c r="AE68" s="31">
        <v>43776.1</v>
      </c>
      <c r="AF68" s="31">
        <v>47360.6</v>
      </c>
      <c r="AG68" s="31">
        <v>47360.623</v>
      </c>
      <c r="AH68" s="31">
        <v>47360.623</v>
      </c>
      <c r="AI68" s="31">
        <v>34595.300000000003</v>
      </c>
      <c r="AJ68" s="31">
        <v>23151.3</v>
      </c>
      <c r="AK68" s="31">
        <v>22798.400000000001</v>
      </c>
      <c r="AL68" s="31">
        <v>49951.199999999997</v>
      </c>
      <c r="AM68" s="31">
        <v>49951.173000000003</v>
      </c>
      <c r="AN68" s="31">
        <v>49951.173000000003</v>
      </c>
      <c r="AO68" s="31">
        <v>38909.5</v>
      </c>
      <c r="AP68" s="31">
        <v>37999.300000000003</v>
      </c>
      <c r="AQ68" s="31">
        <v>37425.4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/>
      <c r="AZ68" s="31"/>
      <c r="BA68" s="30"/>
      <c r="BB68" s="30"/>
      <c r="BC68" s="30"/>
      <c r="BD68" s="30">
        <f t="shared" si="9"/>
        <v>0</v>
      </c>
      <c r="BE68" s="30" t="e">
        <f t="shared" si="10"/>
        <v>#DIV/0!</v>
      </c>
      <c r="BF68" s="30">
        <v>0</v>
      </c>
      <c r="BG68" s="30">
        <v>0</v>
      </c>
      <c r="BH68" s="30" t="e">
        <f t="shared" si="11"/>
        <v>#DIV/0!</v>
      </c>
      <c r="BI68" s="30" t="e">
        <f t="shared" si="12"/>
        <v>#DIV/0!</v>
      </c>
      <c r="BJ68" s="30" t="e">
        <f t="shared" si="13"/>
        <v>#DIV/0!</v>
      </c>
      <c r="BK68" s="54">
        <v>0</v>
      </c>
      <c r="BL68" s="31" t="e">
        <f t="shared" si="15"/>
        <v>#DIV/0!</v>
      </c>
      <c r="BM68" s="31" t="e">
        <f t="shared" si="16"/>
        <v>#DIV/0!</v>
      </c>
      <c r="BN68" s="54">
        <v>0</v>
      </c>
      <c r="BO68" s="31" t="e">
        <f t="shared" si="17"/>
        <v>#DIV/0!</v>
      </c>
      <c r="BP68" s="31" t="e">
        <f t="shared" si="18"/>
        <v>#DIV/0!</v>
      </c>
      <c r="BQ68" s="54">
        <v>0</v>
      </c>
      <c r="BR68" s="31" t="e">
        <f t="shared" si="19"/>
        <v>#DIV/0!</v>
      </c>
    </row>
    <row r="69" spans="1:70" ht="39" customHeight="1" x14ac:dyDescent="0.3">
      <c r="A69" s="26" t="s">
        <v>183</v>
      </c>
      <c r="B69" s="51" t="s">
        <v>184</v>
      </c>
      <c r="C69" s="28">
        <f t="shared" ref="C69:J69" si="71">C70+C71+C72+C73</f>
        <v>9809.41</v>
      </c>
      <c r="D69" s="28">
        <f t="shared" si="71"/>
        <v>0</v>
      </c>
      <c r="E69" s="28">
        <f t="shared" si="71"/>
        <v>28989.5</v>
      </c>
      <c r="F69" s="28">
        <f t="shared" si="71"/>
        <v>28683.049460000002</v>
      </c>
      <c r="G69" s="28">
        <f t="shared" si="71"/>
        <v>14313.7</v>
      </c>
      <c r="H69" s="28">
        <f t="shared" si="71"/>
        <v>24825</v>
      </c>
      <c r="I69" s="28">
        <f t="shared" si="71"/>
        <v>9190.4230100000004</v>
      </c>
      <c r="J69" s="28">
        <f t="shared" si="71"/>
        <v>24824.99</v>
      </c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>
        <f>AL73</f>
        <v>12594.8</v>
      </c>
      <c r="AM69" s="28">
        <f>AM73</f>
        <v>12594.80976</v>
      </c>
      <c r="AN69" s="28">
        <f>AN73</f>
        <v>12594.80976</v>
      </c>
      <c r="AO69" s="28">
        <f t="shared" ref="AO69:AS69" si="72">AO73</f>
        <v>79.5</v>
      </c>
      <c r="AP69" s="28">
        <f t="shared" si="72"/>
        <v>74.8</v>
      </c>
      <c r="AQ69" s="28">
        <f t="shared" si="72"/>
        <v>79.099999999999994</v>
      </c>
      <c r="AR69" s="28">
        <f t="shared" si="72"/>
        <v>79.5</v>
      </c>
      <c r="AS69" s="28">
        <f t="shared" si="72"/>
        <v>6879.7</v>
      </c>
      <c r="AT69" s="28">
        <f>AT73</f>
        <v>6879.7123199999996</v>
      </c>
      <c r="AU69" s="28">
        <f>AU73</f>
        <v>6879.7123199999996</v>
      </c>
      <c r="AV69" s="28">
        <f>AV73</f>
        <v>76.400000000000006</v>
      </c>
      <c r="AW69" s="28">
        <f>AW73</f>
        <v>75.2</v>
      </c>
      <c r="AX69" s="28">
        <f>AX73</f>
        <v>74.8</v>
      </c>
      <c r="AY69" s="28">
        <f t="shared" ref="AY69:AZ69" si="73">AY73</f>
        <v>76.400000000000006</v>
      </c>
      <c r="AZ69" s="28">
        <f t="shared" si="73"/>
        <v>76.400000000000006</v>
      </c>
      <c r="BA69" s="29">
        <v>76.400000000000006</v>
      </c>
      <c r="BB69" s="29">
        <v>76.400000000000006</v>
      </c>
      <c r="BC69" s="29">
        <v>76.400000000000006</v>
      </c>
      <c r="BD69" s="30">
        <f t="shared" si="9"/>
        <v>0</v>
      </c>
      <c r="BE69" s="30">
        <f t="shared" si="10"/>
        <v>100</v>
      </c>
      <c r="BF69" s="29">
        <f>BF73</f>
        <v>76.400000000000006</v>
      </c>
      <c r="BG69" s="29">
        <f>BG73</f>
        <v>76.400000000000006</v>
      </c>
      <c r="BH69" s="30">
        <f t="shared" si="11"/>
        <v>1.1105115511574182</v>
      </c>
      <c r="BI69" s="30">
        <f t="shared" si="12"/>
        <v>100</v>
      </c>
      <c r="BJ69" s="30">
        <f t="shared" si="13"/>
        <v>100</v>
      </c>
      <c r="BK69" s="52">
        <f>BK73</f>
        <v>38</v>
      </c>
      <c r="BL69" s="31">
        <f t="shared" si="15"/>
        <v>49.738219895287955</v>
      </c>
      <c r="BM69" s="31">
        <f t="shared" si="16"/>
        <v>50.531914893617028</v>
      </c>
      <c r="BN69" s="52">
        <f>BN73</f>
        <v>38</v>
      </c>
      <c r="BO69" s="31">
        <f t="shared" si="17"/>
        <v>100</v>
      </c>
      <c r="BP69" s="31">
        <f t="shared" si="18"/>
        <v>50.802139037433157</v>
      </c>
      <c r="BQ69" s="52">
        <f>BQ73</f>
        <v>38</v>
      </c>
      <c r="BR69" s="31">
        <f t="shared" si="19"/>
        <v>100</v>
      </c>
    </row>
    <row r="70" spans="1:70" ht="30" hidden="1" customHeight="1" x14ac:dyDescent="0.3">
      <c r="A70" s="19" t="s">
        <v>185</v>
      </c>
      <c r="B70" s="46" t="s">
        <v>186</v>
      </c>
      <c r="C70" s="31">
        <v>8015.59</v>
      </c>
      <c r="D70" s="31">
        <v>0</v>
      </c>
      <c r="E70" s="31">
        <v>6947.3</v>
      </c>
      <c r="F70" s="31">
        <v>6947.27</v>
      </c>
      <c r="G70" s="31">
        <v>4353.8</v>
      </c>
      <c r="H70" s="31">
        <v>4353.8</v>
      </c>
      <c r="I70" s="31">
        <v>7519.45</v>
      </c>
      <c r="J70" s="31">
        <v>4353.7700000000004</v>
      </c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0"/>
      <c r="BB70" s="30"/>
      <c r="BC70" s="30"/>
      <c r="BD70" s="30">
        <f t="shared" si="9"/>
        <v>0</v>
      </c>
      <c r="BE70" s="30" t="e">
        <f t="shared" si="10"/>
        <v>#DIV/0!</v>
      </c>
      <c r="BF70" s="30"/>
      <c r="BG70" s="30"/>
      <c r="BH70" s="30" t="e">
        <f t="shared" si="11"/>
        <v>#DIV/0!</v>
      </c>
      <c r="BI70" s="30" t="e">
        <f t="shared" si="12"/>
        <v>#DIV/0!</v>
      </c>
      <c r="BJ70" s="30" t="e">
        <f t="shared" si="13"/>
        <v>#DIV/0!</v>
      </c>
      <c r="BK70" s="54"/>
      <c r="BL70" s="31" t="e">
        <f t="shared" si="15"/>
        <v>#DIV/0!</v>
      </c>
      <c r="BM70" s="31" t="e">
        <f t="shared" si="16"/>
        <v>#DIV/0!</v>
      </c>
      <c r="BN70" s="54"/>
      <c r="BO70" s="31" t="e">
        <f t="shared" si="17"/>
        <v>#DIV/0!</v>
      </c>
      <c r="BP70" s="31" t="e">
        <f t="shared" si="18"/>
        <v>#DIV/0!</v>
      </c>
      <c r="BQ70" s="54"/>
      <c r="BR70" s="31" t="e">
        <f t="shared" si="19"/>
        <v>#DIV/0!</v>
      </c>
    </row>
    <row r="71" spans="1:70" ht="30" hidden="1" customHeight="1" x14ac:dyDescent="0.3">
      <c r="A71" s="19" t="s">
        <v>187</v>
      </c>
      <c r="B71" s="46" t="s">
        <v>188</v>
      </c>
      <c r="C71" s="31">
        <v>1393.82</v>
      </c>
      <c r="D71" s="31">
        <v>0</v>
      </c>
      <c r="E71" s="31">
        <v>7303.2</v>
      </c>
      <c r="F71" s="31">
        <v>7303.232</v>
      </c>
      <c r="G71" s="31">
        <v>0</v>
      </c>
      <c r="H71" s="31">
        <v>14738</v>
      </c>
      <c r="I71" s="31">
        <v>0</v>
      </c>
      <c r="J71" s="31">
        <v>14738.04</v>
      </c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0"/>
      <c r="BB71" s="30"/>
      <c r="BC71" s="30"/>
      <c r="BD71" s="30">
        <f t="shared" ref="BD71:BD118" si="74">BC71-AV71</f>
        <v>0</v>
      </c>
      <c r="BE71" s="30" t="e">
        <f t="shared" ref="BE71:BE118" si="75">BC71/AV71*100</f>
        <v>#DIV/0!</v>
      </c>
      <c r="BF71" s="30"/>
      <c r="BG71" s="30"/>
      <c r="BH71" s="30" t="e">
        <f t="shared" ref="BH71:BH118" si="76">BF71/AT71*100</f>
        <v>#DIV/0!</v>
      </c>
      <c r="BI71" s="30" t="e">
        <f t="shared" ref="BI71:BI118" si="77">BF71/AV71*100</f>
        <v>#DIV/0!</v>
      </c>
      <c r="BJ71" s="30" t="e">
        <f t="shared" ref="BJ71:BJ118" si="78">BF71/BC71*100</f>
        <v>#DIV/0!</v>
      </c>
      <c r="BK71" s="54"/>
      <c r="BL71" s="31" t="e">
        <f t="shared" ref="BL71:BL118" si="79">BK71/BF71*100</f>
        <v>#DIV/0!</v>
      </c>
      <c r="BM71" s="31" t="e">
        <f t="shared" ref="BM71:BM118" si="80">BK71/AW71*100</f>
        <v>#DIV/0!</v>
      </c>
      <c r="BN71" s="54"/>
      <c r="BO71" s="31" t="e">
        <f t="shared" ref="BO71:BO118" si="81">BN71/BK71*100</f>
        <v>#DIV/0!</v>
      </c>
      <c r="BP71" s="31" t="e">
        <f t="shared" ref="BP71:BP118" si="82">BN71/AX71*100</f>
        <v>#DIV/0!</v>
      </c>
      <c r="BQ71" s="54"/>
      <c r="BR71" s="31" t="e">
        <f t="shared" ref="BR71:BR118" si="83">BQ71/BN71*100</f>
        <v>#DIV/0!</v>
      </c>
    </row>
    <row r="72" spans="1:70" ht="30" hidden="1" customHeight="1" x14ac:dyDescent="0.3">
      <c r="A72" s="19" t="s">
        <v>189</v>
      </c>
      <c r="B72" s="46" t="s">
        <v>190</v>
      </c>
      <c r="C72" s="31">
        <v>0</v>
      </c>
      <c r="D72" s="31">
        <v>0</v>
      </c>
      <c r="E72" s="31">
        <v>950.3</v>
      </c>
      <c r="F72" s="31">
        <v>950.27</v>
      </c>
      <c r="G72" s="31">
        <v>0</v>
      </c>
      <c r="H72" s="31">
        <v>0</v>
      </c>
      <c r="I72" s="31">
        <v>346.5</v>
      </c>
      <c r="J72" s="31">
        <v>0</v>
      </c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0"/>
      <c r="BB72" s="30"/>
      <c r="BC72" s="30"/>
      <c r="BD72" s="30">
        <f t="shared" si="74"/>
        <v>0</v>
      </c>
      <c r="BE72" s="30" t="e">
        <f t="shared" si="75"/>
        <v>#DIV/0!</v>
      </c>
      <c r="BF72" s="30"/>
      <c r="BG72" s="30"/>
      <c r="BH72" s="30" t="e">
        <f t="shared" si="76"/>
        <v>#DIV/0!</v>
      </c>
      <c r="BI72" s="30" t="e">
        <f t="shared" si="77"/>
        <v>#DIV/0!</v>
      </c>
      <c r="BJ72" s="30" t="e">
        <f t="shared" si="78"/>
        <v>#DIV/0!</v>
      </c>
      <c r="BK72" s="54"/>
      <c r="BL72" s="31" t="e">
        <f t="shared" si="79"/>
        <v>#DIV/0!</v>
      </c>
      <c r="BM72" s="31" t="e">
        <f t="shared" si="80"/>
        <v>#DIV/0!</v>
      </c>
      <c r="BN72" s="54"/>
      <c r="BO72" s="31" t="e">
        <f t="shared" si="81"/>
        <v>#DIV/0!</v>
      </c>
      <c r="BP72" s="31" t="e">
        <f t="shared" si="82"/>
        <v>#DIV/0!</v>
      </c>
      <c r="BQ72" s="54"/>
      <c r="BR72" s="31" t="e">
        <f t="shared" si="83"/>
        <v>#DIV/0!</v>
      </c>
    </row>
    <row r="73" spans="1:70" ht="30" hidden="1" customHeight="1" x14ac:dyDescent="0.3">
      <c r="A73" s="19" t="s">
        <v>191</v>
      </c>
      <c r="B73" s="46" t="s">
        <v>192</v>
      </c>
      <c r="C73" s="31">
        <v>400</v>
      </c>
      <c r="D73" s="31">
        <v>0</v>
      </c>
      <c r="E73" s="31">
        <v>13788.7</v>
      </c>
      <c r="F73" s="31">
        <v>13482.277459999999</v>
      </c>
      <c r="G73" s="31">
        <v>9959.9</v>
      </c>
      <c r="H73" s="31">
        <v>5733.2</v>
      </c>
      <c r="I73" s="31">
        <v>1324.4730099999999</v>
      </c>
      <c r="J73" s="31">
        <v>5733.18</v>
      </c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>
        <v>12594.8</v>
      </c>
      <c r="AM73" s="31">
        <v>12594.80976</v>
      </c>
      <c r="AN73" s="31">
        <v>12594.80976</v>
      </c>
      <c r="AO73" s="31">
        <v>79.5</v>
      </c>
      <c r="AP73" s="31">
        <v>74.8</v>
      </c>
      <c r="AQ73" s="31">
        <v>79.099999999999994</v>
      </c>
      <c r="AR73" s="31">
        <v>79.5</v>
      </c>
      <c r="AS73" s="31">
        <v>6879.7</v>
      </c>
      <c r="AT73" s="31">
        <v>6879.7123199999996</v>
      </c>
      <c r="AU73" s="31">
        <v>6879.7123199999996</v>
      </c>
      <c r="AV73" s="31">
        <v>76.400000000000006</v>
      </c>
      <c r="AW73" s="31">
        <v>75.2</v>
      </c>
      <c r="AX73" s="31">
        <v>74.8</v>
      </c>
      <c r="AY73" s="31">
        <v>76.400000000000006</v>
      </c>
      <c r="AZ73" s="31">
        <v>76.400000000000006</v>
      </c>
      <c r="BA73" s="30">
        <v>76.400000000000006</v>
      </c>
      <c r="BB73" s="30">
        <v>76.400000000000006</v>
      </c>
      <c r="BC73" s="30">
        <v>76.400000000000006</v>
      </c>
      <c r="BD73" s="30">
        <f t="shared" si="74"/>
        <v>0</v>
      </c>
      <c r="BE73" s="30">
        <f t="shared" si="75"/>
        <v>100</v>
      </c>
      <c r="BF73" s="30">
        <v>76.400000000000006</v>
      </c>
      <c r="BG73" s="30">
        <v>76.400000000000006</v>
      </c>
      <c r="BH73" s="30">
        <f t="shared" si="76"/>
        <v>1.1105115511574182</v>
      </c>
      <c r="BI73" s="30">
        <f t="shared" si="77"/>
        <v>100</v>
      </c>
      <c r="BJ73" s="30">
        <f t="shared" si="78"/>
        <v>100</v>
      </c>
      <c r="BK73" s="54">
        <v>38</v>
      </c>
      <c r="BL73" s="31">
        <f t="shared" si="79"/>
        <v>49.738219895287955</v>
      </c>
      <c r="BM73" s="31">
        <f t="shared" si="80"/>
        <v>50.531914893617028</v>
      </c>
      <c r="BN73" s="54">
        <v>38</v>
      </c>
      <c r="BO73" s="31">
        <f t="shared" si="81"/>
        <v>100</v>
      </c>
      <c r="BP73" s="31">
        <f t="shared" si="82"/>
        <v>50.802139037433157</v>
      </c>
      <c r="BQ73" s="54">
        <f>BQ75+BQ76</f>
        <v>38</v>
      </c>
      <c r="BR73" s="31">
        <f t="shared" si="83"/>
        <v>100</v>
      </c>
    </row>
    <row r="74" spans="1:70" ht="27.75" hidden="1" customHeight="1" x14ac:dyDescent="0.3">
      <c r="A74" s="19"/>
      <c r="B74" s="46" t="s">
        <v>193</v>
      </c>
      <c r="C74" s="31"/>
      <c r="D74" s="31"/>
      <c r="E74" s="31">
        <f>10912.28+1090.3</f>
        <v>12002.58</v>
      </c>
      <c r="F74" s="31">
        <f>10912.28+784</f>
        <v>11696.28</v>
      </c>
      <c r="G74" s="31"/>
      <c r="H74" s="31">
        <v>4918.7</v>
      </c>
      <c r="I74" s="31"/>
      <c r="J74" s="31">
        <v>4918.7</v>
      </c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>
        <v>12522.2</v>
      </c>
      <c r="AM74" s="31">
        <v>12522.20976</v>
      </c>
      <c r="AN74" s="31"/>
      <c r="AO74" s="31"/>
      <c r="AP74" s="31"/>
      <c r="AQ74" s="31"/>
      <c r="AR74" s="31"/>
      <c r="AS74" s="31">
        <v>6800.2</v>
      </c>
      <c r="AT74" s="31">
        <v>6800.2123199999996</v>
      </c>
      <c r="AU74" s="31"/>
      <c r="AV74" s="31"/>
      <c r="AW74" s="31"/>
      <c r="AX74" s="31"/>
      <c r="AY74" s="31"/>
      <c r="AZ74" s="31"/>
      <c r="BA74" s="30"/>
      <c r="BB74" s="30"/>
      <c r="BC74" s="30"/>
      <c r="BD74" s="30">
        <f t="shared" si="74"/>
        <v>0</v>
      </c>
      <c r="BE74" s="30" t="e">
        <f t="shared" si="75"/>
        <v>#DIV/0!</v>
      </c>
      <c r="BF74" s="30"/>
      <c r="BG74" s="30"/>
      <c r="BH74" s="30">
        <f t="shared" si="76"/>
        <v>0</v>
      </c>
      <c r="BI74" s="30" t="e">
        <f t="shared" si="77"/>
        <v>#DIV/0!</v>
      </c>
      <c r="BJ74" s="30" t="e">
        <f t="shared" si="78"/>
        <v>#DIV/0!</v>
      </c>
      <c r="BK74" s="54"/>
      <c r="BL74" s="31" t="e">
        <f t="shared" si="79"/>
        <v>#DIV/0!</v>
      </c>
      <c r="BM74" s="31" t="e">
        <f t="shared" si="80"/>
        <v>#DIV/0!</v>
      </c>
      <c r="BN74" s="54"/>
      <c r="BO74" s="31" t="e">
        <f t="shared" si="81"/>
        <v>#DIV/0!</v>
      </c>
      <c r="BP74" s="31" t="e">
        <f t="shared" si="82"/>
        <v>#DIV/0!</v>
      </c>
      <c r="BQ74" s="54"/>
      <c r="BR74" s="31" t="e">
        <f t="shared" si="83"/>
        <v>#DIV/0!</v>
      </c>
    </row>
    <row r="75" spans="1:70" ht="27.75" hidden="1" customHeight="1" x14ac:dyDescent="0.3">
      <c r="A75" s="19"/>
      <c r="B75" s="46" t="s">
        <v>194</v>
      </c>
      <c r="C75" s="31"/>
      <c r="D75" s="31"/>
      <c r="E75" s="31">
        <v>427.77</v>
      </c>
      <c r="F75" s="31">
        <v>427.74646000000001</v>
      </c>
      <c r="G75" s="31"/>
      <c r="H75" s="31">
        <v>94.08</v>
      </c>
      <c r="I75" s="31"/>
      <c r="J75" s="31">
        <v>94.08</v>
      </c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>
        <v>13</v>
      </c>
      <c r="AM75" s="31">
        <v>13</v>
      </c>
      <c r="AN75" s="31"/>
      <c r="AO75" s="31">
        <v>13</v>
      </c>
      <c r="AP75" s="31">
        <v>13</v>
      </c>
      <c r="AQ75" s="31">
        <v>13</v>
      </c>
      <c r="AR75" s="31">
        <v>13</v>
      </c>
      <c r="AS75" s="31">
        <v>13</v>
      </c>
      <c r="AT75" s="31">
        <v>13</v>
      </c>
      <c r="AU75" s="31"/>
      <c r="AV75" s="31">
        <v>13</v>
      </c>
      <c r="AW75" s="31">
        <v>13</v>
      </c>
      <c r="AX75" s="31">
        <v>13</v>
      </c>
      <c r="AY75" s="31"/>
      <c r="AZ75" s="31"/>
      <c r="BA75" s="30">
        <v>13</v>
      </c>
      <c r="BB75" s="30"/>
      <c r="BC75" s="30">
        <v>13</v>
      </c>
      <c r="BD75" s="30">
        <f t="shared" si="74"/>
        <v>0</v>
      </c>
      <c r="BE75" s="30">
        <f t="shared" si="75"/>
        <v>100</v>
      </c>
      <c r="BF75" s="54">
        <v>13</v>
      </c>
      <c r="BG75" s="30"/>
      <c r="BH75" s="30">
        <f t="shared" si="76"/>
        <v>100</v>
      </c>
      <c r="BI75" s="30">
        <f t="shared" si="77"/>
        <v>100</v>
      </c>
      <c r="BJ75" s="30">
        <f t="shared" si="78"/>
        <v>100</v>
      </c>
      <c r="BK75" s="54">
        <v>13</v>
      </c>
      <c r="BL75" s="31">
        <f t="shared" si="79"/>
        <v>100</v>
      </c>
      <c r="BM75" s="31">
        <f t="shared" si="80"/>
        <v>100</v>
      </c>
      <c r="BN75" s="54">
        <v>13</v>
      </c>
      <c r="BO75" s="31">
        <f t="shared" si="81"/>
        <v>100</v>
      </c>
      <c r="BP75" s="31">
        <f t="shared" si="82"/>
        <v>100</v>
      </c>
      <c r="BQ75" s="54">
        <v>13</v>
      </c>
      <c r="BR75" s="31">
        <f t="shared" si="83"/>
        <v>100</v>
      </c>
    </row>
    <row r="76" spans="1:70" ht="27.75" hidden="1" customHeight="1" x14ac:dyDescent="0.3">
      <c r="A76" s="19"/>
      <c r="B76" s="46" t="s">
        <v>195</v>
      </c>
      <c r="C76" s="31"/>
      <c r="D76" s="31"/>
      <c r="E76" s="31"/>
      <c r="F76" s="31"/>
      <c r="G76" s="31"/>
      <c r="H76" s="31">
        <v>40</v>
      </c>
      <c r="I76" s="31"/>
      <c r="J76" s="31">
        <v>40</v>
      </c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>
        <v>59.6</v>
      </c>
      <c r="AM76" s="31">
        <v>59.6</v>
      </c>
      <c r="AN76" s="31"/>
      <c r="AO76" s="31">
        <v>66.5</v>
      </c>
      <c r="AP76" s="31">
        <v>61.8</v>
      </c>
      <c r="AQ76" s="31">
        <v>66.099999999999994</v>
      </c>
      <c r="AR76" s="31">
        <v>66.5</v>
      </c>
      <c r="AS76" s="31">
        <v>66.5</v>
      </c>
      <c r="AT76" s="31">
        <v>66.5</v>
      </c>
      <c r="AU76" s="31"/>
      <c r="AV76" s="31">
        <v>63.4</v>
      </c>
      <c r="AW76" s="31">
        <v>62.2</v>
      </c>
      <c r="AX76" s="31">
        <v>61.8</v>
      </c>
      <c r="AY76" s="31"/>
      <c r="AZ76" s="31"/>
      <c r="BA76" s="30">
        <v>63.4</v>
      </c>
      <c r="BB76" s="30"/>
      <c r="BC76" s="30">
        <v>63.4</v>
      </c>
      <c r="BD76" s="30">
        <f t="shared" si="74"/>
        <v>0</v>
      </c>
      <c r="BE76" s="30">
        <f t="shared" si="75"/>
        <v>100</v>
      </c>
      <c r="BF76" s="54">
        <v>63.4</v>
      </c>
      <c r="BG76" s="30"/>
      <c r="BH76" s="30">
        <f t="shared" si="76"/>
        <v>95.338345864661662</v>
      </c>
      <c r="BI76" s="30">
        <f t="shared" si="77"/>
        <v>100</v>
      </c>
      <c r="BJ76" s="30">
        <f t="shared" si="78"/>
        <v>100</v>
      </c>
      <c r="BK76" s="54">
        <v>25</v>
      </c>
      <c r="BL76" s="31">
        <f t="shared" si="79"/>
        <v>39.43217665615142</v>
      </c>
      <c r="BM76" s="31">
        <f t="shared" si="80"/>
        <v>40.192926045016073</v>
      </c>
      <c r="BN76" s="54">
        <v>25</v>
      </c>
      <c r="BO76" s="31">
        <f t="shared" si="81"/>
        <v>100</v>
      </c>
      <c r="BP76" s="31">
        <f t="shared" si="82"/>
        <v>40.453074433656958</v>
      </c>
      <c r="BQ76" s="54">
        <v>25</v>
      </c>
      <c r="BR76" s="31">
        <f t="shared" si="83"/>
        <v>100</v>
      </c>
    </row>
    <row r="77" spans="1:70" ht="27.75" hidden="1" customHeight="1" x14ac:dyDescent="0.3">
      <c r="A77" s="19"/>
      <c r="B77" s="46" t="s">
        <v>196</v>
      </c>
      <c r="C77" s="31"/>
      <c r="D77" s="31"/>
      <c r="E77" s="31">
        <f>679.2+679.1</f>
        <v>1358.3000000000002</v>
      </c>
      <c r="F77" s="31">
        <f>679.2+679.1</f>
        <v>1358.3000000000002</v>
      </c>
      <c r="G77" s="31"/>
      <c r="H77" s="31">
        <v>680.4</v>
      </c>
      <c r="I77" s="31"/>
      <c r="J77" s="31">
        <v>680.4</v>
      </c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0"/>
      <c r="BB77" s="30"/>
      <c r="BC77" s="30"/>
      <c r="BD77" s="30">
        <f t="shared" si="74"/>
        <v>0</v>
      </c>
      <c r="BE77" s="30" t="e">
        <f t="shared" si="75"/>
        <v>#DIV/0!</v>
      </c>
      <c r="BF77" s="30"/>
      <c r="BG77" s="30"/>
      <c r="BH77" s="30" t="e">
        <f t="shared" si="76"/>
        <v>#DIV/0!</v>
      </c>
      <c r="BI77" s="30" t="e">
        <f t="shared" si="77"/>
        <v>#DIV/0!</v>
      </c>
      <c r="BJ77" s="30" t="e">
        <f t="shared" si="78"/>
        <v>#DIV/0!</v>
      </c>
      <c r="BK77" s="54"/>
      <c r="BL77" s="31" t="e">
        <f t="shared" si="79"/>
        <v>#DIV/0!</v>
      </c>
      <c r="BM77" s="31" t="e">
        <f t="shared" si="80"/>
        <v>#DIV/0!</v>
      </c>
      <c r="BN77" s="54"/>
      <c r="BO77" s="31" t="e">
        <f t="shared" si="81"/>
        <v>#DIV/0!</v>
      </c>
      <c r="BP77" s="31" t="e">
        <f t="shared" si="82"/>
        <v>#DIV/0!</v>
      </c>
      <c r="BQ77" s="54"/>
      <c r="BR77" s="31" t="e">
        <f t="shared" si="83"/>
        <v>#DIV/0!</v>
      </c>
    </row>
    <row r="78" spans="1:70" ht="27.75" customHeight="1" x14ac:dyDescent="0.3">
      <c r="A78" s="26" t="s">
        <v>197</v>
      </c>
      <c r="B78" s="27" t="s">
        <v>198</v>
      </c>
      <c r="C78" s="28">
        <f t="shared" ref="C78:AE78" si="84">C80+C81</f>
        <v>838.4</v>
      </c>
      <c r="D78" s="28">
        <f t="shared" si="84"/>
        <v>916.4</v>
      </c>
      <c r="E78" s="28">
        <f t="shared" si="84"/>
        <v>916.4</v>
      </c>
      <c r="F78" s="28">
        <f t="shared" si="84"/>
        <v>916.4</v>
      </c>
      <c r="G78" s="28">
        <f t="shared" si="84"/>
        <v>668</v>
      </c>
      <c r="H78" s="28">
        <f t="shared" si="84"/>
        <v>668</v>
      </c>
      <c r="I78" s="28">
        <f t="shared" si="84"/>
        <v>383</v>
      </c>
      <c r="J78" s="28">
        <f t="shared" si="84"/>
        <v>668</v>
      </c>
      <c r="K78" s="28">
        <f t="shared" si="84"/>
        <v>871</v>
      </c>
      <c r="L78" s="28">
        <f t="shared" si="84"/>
        <v>871</v>
      </c>
      <c r="M78" s="28">
        <f t="shared" si="84"/>
        <v>871</v>
      </c>
      <c r="N78" s="28">
        <f t="shared" si="84"/>
        <v>871</v>
      </c>
      <c r="O78" s="28">
        <f t="shared" si="84"/>
        <v>930</v>
      </c>
      <c r="P78" s="28">
        <f t="shared" si="84"/>
        <v>932.9</v>
      </c>
      <c r="Q78" s="28">
        <f t="shared" si="84"/>
        <v>932.9</v>
      </c>
      <c r="R78" s="28">
        <f t="shared" si="84"/>
        <v>932.9</v>
      </c>
      <c r="S78" s="28">
        <f t="shared" si="84"/>
        <v>898</v>
      </c>
      <c r="T78" s="28">
        <f t="shared" si="84"/>
        <v>940.4</v>
      </c>
      <c r="U78" s="28">
        <f t="shared" si="84"/>
        <v>940.4</v>
      </c>
      <c r="V78" s="28">
        <f t="shared" si="84"/>
        <v>940.4</v>
      </c>
      <c r="W78" s="28">
        <f t="shared" si="84"/>
        <v>473.2</v>
      </c>
      <c r="X78" s="28">
        <f t="shared" si="84"/>
        <v>719.2</v>
      </c>
      <c r="Y78" s="28">
        <f t="shared" si="84"/>
        <v>719.17299000000003</v>
      </c>
      <c r="Z78" s="28">
        <f t="shared" si="84"/>
        <v>719.17299000000003</v>
      </c>
      <c r="AA78" s="28">
        <f>AA80+AA81</f>
        <v>508.8</v>
      </c>
      <c r="AB78" s="28">
        <f>AB80+AB81+AB79</f>
        <v>864.24</v>
      </c>
      <c r="AC78" s="28">
        <f>AC80+AC81+AC79</f>
        <v>864.24513000000002</v>
      </c>
      <c r="AD78" s="28">
        <f>AD80+AD81+AD79</f>
        <v>864.24513000000002</v>
      </c>
      <c r="AE78" s="28">
        <f t="shared" si="84"/>
        <v>517.1</v>
      </c>
      <c r="AF78" s="28">
        <f>AF80+AF81+AF79</f>
        <v>636.69999999999993</v>
      </c>
      <c r="AG78" s="28">
        <f>AG80+AG81+AG79</f>
        <v>636.72899999999993</v>
      </c>
      <c r="AH78" s="28">
        <f>AH80+AH81+AH79</f>
        <v>636.72899999999993</v>
      </c>
      <c r="AI78" s="28">
        <f>AI80+AI81</f>
        <v>550.4</v>
      </c>
      <c r="AJ78" s="28">
        <f>AJ80+AJ81</f>
        <v>554.5</v>
      </c>
      <c r="AK78" s="28">
        <f>AK80+AK81</f>
        <v>567.6</v>
      </c>
      <c r="AL78" s="28">
        <f>AL80+AL81+AL79</f>
        <v>716.30000000000007</v>
      </c>
      <c r="AM78" s="28">
        <f>AM80+AM81+AM79</f>
        <v>716.26496999999995</v>
      </c>
      <c r="AN78" s="28">
        <f>AN80+AN81+AN79</f>
        <v>716.26496999999995</v>
      </c>
      <c r="AO78" s="28">
        <f t="shared" ref="AO78:AQ78" si="85">AO80+AO81</f>
        <v>588.5</v>
      </c>
      <c r="AP78" s="28">
        <f t="shared" si="85"/>
        <v>122.1</v>
      </c>
      <c r="AQ78" s="28">
        <f t="shared" si="85"/>
        <v>122.1</v>
      </c>
      <c r="AR78" s="28">
        <f>AR80+AR81+AR79</f>
        <v>678.80000000000007</v>
      </c>
      <c r="AS78" s="28">
        <f>AS80+AS81+AS79</f>
        <v>743.4</v>
      </c>
      <c r="AT78" s="28">
        <f>AT80+AT81+AT79</f>
        <v>743.41113000000007</v>
      </c>
      <c r="AU78" s="28">
        <f>AU80+AU81+AU79</f>
        <v>743.41113000000007</v>
      </c>
      <c r="AV78" s="28">
        <f t="shared" ref="AV78:AX78" si="86">AV80+AV81</f>
        <v>607</v>
      </c>
      <c r="AW78" s="28">
        <f t="shared" si="86"/>
        <v>623.70000000000005</v>
      </c>
      <c r="AX78" s="28">
        <f t="shared" si="86"/>
        <v>641.6</v>
      </c>
      <c r="AY78" s="28">
        <v>607</v>
      </c>
      <c r="AZ78" s="28">
        <v>607</v>
      </c>
      <c r="BA78" s="29">
        <v>618.1</v>
      </c>
      <c r="BB78" s="29">
        <v>618.1</v>
      </c>
      <c r="BC78" s="29">
        <f>BC80+BC81</f>
        <v>683</v>
      </c>
      <c r="BD78" s="30">
        <f t="shared" si="74"/>
        <v>76</v>
      </c>
      <c r="BE78" s="30">
        <f t="shared" si="75"/>
        <v>112.52059308072488</v>
      </c>
      <c r="BF78" s="29">
        <f>BF80+BF81</f>
        <v>683.04456000000005</v>
      </c>
      <c r="BG78" s="29">
        <f>BG80+BG81+BG79</f>
        <v>683.04456000000005</v>
      </c>
      <c r="BH78" s="30">
        <f t="shared" si="76"/>
        <v>91.879786626277706</v>
      </c>
      <c r="BI78" s="30">
        <f t="shared" si="77"/>
        <v>112.52793410214169</v>
      </c>
      <c r="BJ78" s="30">
        <f t="shared" si="78"/>
        <v>100.00652415812593</v>
      </c>
      <c r="BK78" s="52">
        <f t="shared" ref="BK78:BQ78" si="87">BK80+BK81</f>
        <v>710</v>
      </c>
      <c r="BL78" s="31">
        <f t="shared" si="79"/>
        <v>103.94636625171276</v>
      </c>
      <c r="BM78" s="31">
        <f t="shared" si="80"/>
        <v>113.83678050344716</v>
      </c>
      <c r="BN78" s="52">
        <f t="shared" si="87"/>
        <v>737.8</v>
      </c>
      <c r="BO78" s="31">
        <f t="shared" si="81"/>
        <v>103.91549295774647</v>
      </c>
      <c r="BP78" s="31">
        <f t="shared" si="82"/>
        <v>114.9937655860349</v>
      </c>
      <c r="BQ78" s="52">
        <f t="shared" si="87"/>
        <v>760.4</v>
      </c>
      <c r="BR78" s="31">
        <f t="shared" si="83"/>
        <v>103.06316074817023</v>
      </c>
    </row>
    <row r="79" spans="1:70" ht="27.75" hidden="1" customHeight="1" x14ac:dyDescent="0.3">
      <c r="A79" s="19" t="s">
        <v>199</v>
      </c>
      <c r="B79" s="46" t="s">
        <v>200</v>
      </c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31">
        <v>2.04</v>
      </c>
      <c r="AC79" s="31">
        <v>2.04</v>
      </c>
      <c r="AD79" s="31">
        <v>2.04</v>
      </c>
      <c r="AE79" s="28"/>
      <c r="AF79" s="31"/>
      <c r="AG79" s="31"/>
      <c r="AH79" s="31"/>
      <c r="AI79" s="28"/>
      <c r="AJ79" s="28"/>
      <c r="AK79" s="28"/>
      <c r="AL79" s="31">
        <v>2.2000000000000002</v>
      </c>
      <c r="AM79" s="31">
        <v>2.1930000000000001</v>
      </c>
      <c r="AN79" s="31">
        <v>2.1930000000000001</v>
      </c>
      <c r="AO79" s="28"/>
      <c r="AP79" s="28"/>
      <c r="AQ79" s="28"/>
      <c r="AR79" s="31">
        <v>0</v>
      </c>
      <c r="AS79" s="31">
        <v>0</v>
      </c>
      <c r="AT79" s="31">
        <v>0</v>
      </c>
      <c r="AU79" s="31">
        <v>0</v>
      </c>
      <c r="AV79" s="28"/>
      <c r="AW79" s="28"/>
      <c r="AX79" s="28"/>
      <c r="AY79" s="28"/>
      <c r="AZ79" s="28"/>
      <c r="BA79" s="29"/>
      <c r="BB79" s="29"/>
      <c r="BC79" s="29"/>
      <c r="BD79" s="30">
        <f t="shared" si="74"/>
        <v>0</v>
      </c>
      <c r="BE79" s="30" t="e">
        <f t="shared" si="75"/>
        <v>#DIV/0!</v>
      </c>
      <c r="BF79" s="29"/>
      <c r="BG79" s="30">
        <v>0</v>
      </c>
      <c r="BH79" s="30" t="e">
        <f t="shared" si="76"/>
        <v>#DIV/0!</v>
      </c>
      <c r="BI79" s="30" t="e">
        <f t="shared" si="77"/>
        <v>#DIV/0!</v>
      </c>
      <c r="BJ79" s="30" t="e">
        <f t="shared" si="78"/>
        <v>#DIV/0!</v>
      </c>
      <c r="BK79" s="52"/>
      <c r="BL79" s="31" t="e">
        <f t="shared" si="79"/>
        <v>#DIV/0!</v>
      </c>
      <c r="BM79" s="31" t="e">
        <f t="shared" si="80"/>
        <v>#DIV/0!</v>
      </c>
      <c r="BN79" s="52"/>
      <c r="BO79" s="31" t="e">
        <f t="shared" si="81"/>
        <v>#DIV/0!</v>
      </c>
      <c r="BP79" s="31" t="e">
        <f t="shared" si="82"/>
        <v>#DIV/0!</v>
      </c>
      <c r="BQ79" s="52"/>
      <c r="BR79" s="31" t="e">
        <f t="shared" si="83"/>
        <v>#DIV/0!</v>
      </c>
    </row>
    <row r="80" spans="1:70" ht="27.75" hidden="1" customHeight="1" x14ac:dyDescent="0.3">
      <c r="A80" s="19" t="s">
        <v>201</v>
      </c>
      <c r="B80" s="46" t="s">
        <v>202</v>
      </c>
      <c r="C80" s="31">
        <v>54</v>
      </c>
      <c r="D80" s="31">
        <v>81</v>
      </c>
      <c r="E80" s="31">
        <v>81</v>
      </c>
      <c r="F80" s="31">
        <v>81</v>
      </c>
      <c r="G80" s="31">
        <v>88</v>
      </c>
      <c r="H80" s="31">
        <v>88</v>
      </c>
      <c r="I80" s="31">
        <v>26</v>
      </c>
      <c r="J80" s="31">
        <v>88</v>
      </c>
      <c r="K80" s="31">
        <v>91</v>
      </c>
      <c r="L80" s="31">
        <v>91</v>
      </c>
      <c r="M80" s="31">
        <v>91</v>
      </c>
      <c r="N80" s="31">
        <v>91</v>
      </c>
      <c r="O80" s="31">
        <v>142</v>
      </c>
      <c r="P80" s="31">
        <v>142</v>
      </c>
      <c r="Q80" s="31">
        <v>142</v>
      </c>
      <c r="R80" s="31">
        <v>142</v>
      </c>
      <c r="S80" s="31">
        <v>110</v>
      </c>
      <c r="T80" s="31">
        <v>110</v>
      </c>
      <c r="U80" s="31">
        <v>110</v>
      </c>
      <c r="V80" s="31">
        <v>110</v>
      </c>
      <c r="W80" s="31">
        <v>95</v>
      </c>
      <c r="X80" s="31">
        <v>255.6</v>
      </c>
      <c r="Y80" s="31">
        <v>255.58412000000001</v>
      </c>
      <c r="Z80" s="31">
        <v>255.58412000000001</v>
      </c>
      <c r="AA80" s="31">
        <v>115</v>
      </c>
      <c r="AB80" s="31">
        <v>135</v>
      </c>
      <c r="AC80" s="31">
        <v>135</v>
      </c>
      <c r="AD80" s="31">
        <v>135</v>
      </c>
      <c r="AE80" s="31">
        <v>81.599999999999994</v>
      </c>
      <c r="AF80" s="31">
        <v>116.3</v>
      </c>
      <c r="AG80" s="31">
        <v>116.3</v>
      </c>
      <c r="AH80" s="31">
        <v>116.3</v>
      </c>
      <c r="AI80" s="31">
        <v>112.4</v>
      </c>
      <c r="AJ80" s="31">
        <v>112.4</v>
      </c>
      <c r="AK80" s="31">
        <v>112.4</v>
      </c>
      <c r="AL80" s="31">
        <v>112.4</v>
      </c>
      <c r="AM80" s="31">
        <v>112.4</v>
      </c>
      <c r="AN80" s="31">
        <v>112.4</v>
      </c>
      <c r="AO80" s="31">
        <v>122.1</v>
      </c>
      <c r="AP80" s="31">
        <v>122.1</v>
      </c>
      <c r="AQ80" s="31">
        <v>122.1</v>
      </c>
      <c r="AR80" s="31">
        <v>122.1</v>
      </c>
      <c r="AS80" s="31">
        <v>122.1</v>
      </c>
      <c r="AT80" s="31">
        <v>122.1</v>
      </c>
      <c r="AU80" s="31">
        <v>122.1</v>
      </c>
      <c r="AV80" s="31">
        <v>113.2</v>
      </c>
      <c r="AW80" s="31">
        <v>113.2</v>
      </c>
      <c r="AX80" s="31">
        <v>113.2</v>
      </c>
      <c r="AY80" s="31"/>
      <c r="AZ80" s="31"/>
      <c r="BA80" s="30"/>
      <c r="BB80" s="30">
        <v>113.2</v>
      </c>
      <c r="BC80" s="30">
        <v>113.2</v>
      </c>
      <c r="BD80" s="30">
        <f t="shared" si="74"/>
        <v>0</v>
      </c>
      <c r="BE80" s="30">
        <f t="shared" si="75"/>
        <v>100</v>
      </c>
      <c r="BF80" s="30">
        <v>113.2</v>
      </c>
      <c r="BG80" s="30">
        <v>113.2</v>
      </c>
      <c r="BH80" s="30">
        <f t="shared" si="76"/>
        <v>92.710892710892722</v>
      </c>
      <c r="BI80" s="30">
        <f t="shared" si="77"/>
        <v>100</v>
      </c>
      <c r="BJ80" s="30">
        <f t="shared" si="78"/>
        <v>100</v>
      </c>
      <c r="BK80" s="54">
        <v>115.3</v>
      </c>
      <c r="BL80" s="31">
        <f t="shared" si="79"/>
        <v>101.85512367491165</v>
      </c>
      <c r="BM80" s="31">
        <f t="shared" si="80"/>
        <v>101.85512367491165</v>
      </c>
      <c r="BN80" s="54">
        <v>115.3</v>
      </c>
      <c r="BO80" s="31">
        <f t="shared" si="81"/>
        <v>100</v>
      </c>
      <c r="BP80" s="31">
        <f t="shared" si="82"/>
        <v>101.85512367491165</v>
      </c>
      <c r="BQ80" s="54">
        <v>115.3</v>
      </c>
      <c r="BR80" s="31">
        <f t="shared" si="83"/>
        <v>100</v>
      </c>
    </row>
    <row r="81" spans="1:70" ht="27.75" hidden="1" customHeight="1" x14ac:dyDescent="0.3">
      <c r="A81" s="19" t="s">
        <v>203</v>
      </c>
      <c r="B81" s="46" t="s">
        <v>204</v>
      </c>
      <c r="C81" s="31">
        <v>784.4</v>
      </c>
      <c r="D81" s="31">
        <v>835.4</v>
      </c>
      <c r="E81" s="31">
        <v>835.4</v>
      </c>
      <c r="F81" s="31">
        <v>835.4</v>
      </c>
      <c r="G81" s="31">
        <v>580</v>
      </c>
      <c r="H81" s="31">
        <v>580</v>
      </c>
      <c r="I81" s="31">
        <v>357</v>
      </c>
      <c r="J81" s="31">
        <v>580</v>
      </c>
      <c r="K81" s="31">
        <v>780</v>
      </c>
      <c r="L81" s="31">
        <v>780</v>
      </c>
      <c r="M81" s="31">
        <v>780</v>
      </c>
      <c r="N81" s="31">
        <v>780</v>
      </c>
      <c r="O81" s="31">
        <v>788</v>
      </c>
      <c r="P81" s="31">
        <v>790.9</v>
      </c>
      <c r="Q81" s="31">
        <v>790.9</v>
      </c>
      <c r="R81" s="31">
        <v>790.9</v>
      </c>
      <c r="S81" s="31">
        <v>788</v>
      </c>
      <c r="T81" s="31">
        <v>830.4</v>
      </c>
      <c r="U81" s="31">
        <v>830.4</v>
      </c>
      <c r="V81" s="31">
        <v>830.4</v>
      </c>
      <c r="W81" s="31">
        <v>378.2</v>
      </c>
      <c r="X81" s="31">
        <v>463.6</v>
      </c>
      <c r="Y81" s="31">
        <v>463.58886999999999</v>
      </c>
      <c r="Z81" s="31">
        <v>463.58886999999999</v>
      </c>
      <c r="AA81" s="31">
        <v>393.8</v>
      </c>
      <c r="AB81" s="31">
        <v>727.2</v>
      </c>
      <c r="AC81" s="31">
        <v>727.20513000000005</v>
      </c>
      <c r="AD81" s="31">
        <v>727.20513000000005</v>
      </c>
      <c r="AE81" s="31">
        <v>435.5</v>
      </c>
      <c r="AF81" s="31">
        <v>520.4</v>
      </c>
      <c r="AG81" s="31">
        <v>520.42899999999997</v>
      </c>
      <c r="AH81" s="31">
        <v>520.42899999999997</v>
      </c>
      <c r="AI81" s="31">
        <v>438</v>
      </c>
      <c r="AJ81" s="31">
        <v>442.1</v>
      </c>
      <c r="AK81" s="31">
        <v>455.2</v>
      </c>
      <c r="AL81" s="31">
        <v>601.70000000000005</v>
      </c>
      <c r="AM81" s="31">
        <v>601.67196999999999</v>
      </c>
      <c r="AN81" s="31">
        <v>601.67196999999999</v>
      </c>
      <c r="AO81" s="31">
        <v>466.4</v>
      </c>
      <c r="AP81" s="31">
        <v>0</v>
      </c>
      <c r="AQ81" s="31">
        <v>0</v>
      </c>
      <c r="AR81" s="31">
        <v>556.70000000000005</v>
      </c>
      <c r="AS81" s="31">
        <v>621.29999999999995</v>
      </c>
      <c r="AT81" s="31">
        <v>621.31113000000005</v>
      </c>
      <c r="AU81" s="31">
        <v>621.31113000000005</v>
      </c>
      <c r="AV81" s="31">
        <v>493.8</v>
      </c>
      <c r="AW81" s="31">
        <v>510.5</v>
      </c>
      <c r="AX81" s="31">
        <v>528.4</v>
      </c>
      <c r="AY81" s="31"/>
      <c r="AZ81" s="31"/>
      <c r="BA81" s="30"/>
      <c r="BB81" s="30">
        <v>504.9</v>
      </c>
      <c r="BC81" s="30">
        <v>569.79999999999995</v>
      </c>
      <c r="BD81" s="30">
        <f t="shared" si="74"/>
        <v>75.999999999999943</v>
      </c>
      <c r="BE81" s="30">
        <f t="shared" si="75"/>
        <v>115.39084649655732</v>
      </c>
      <c r="BF81" s="30">
        <v>569.84456</v>
      </c>
      <c r="BG81" s="30">
        <v>569.84456</v>
      </c>
      <c r="BH81" s="30">
        <f t="shared" si="76"/>
        <v>91.716457743160007</v>
      </c>
      <c r="BI81" s="30">
        <f t="shared" si="77"/>
        <v>115.39987039287161</v>
      </c>
      <c r="BJ81" s="30">
        <f t="shared" si="78"/>
        <v>100.00782028782029</v>
      </c>
      <c r="BK81" s="54">
        <v>594.70000000000005</v>
      </c>
      <c r="BL81" s="31">
        <f t="shared" si="79"/>
        <v>104.36179297736913</v>
      </c>
      <c r="BM81" s="31">
        <f t="shared" si="80"/>
        <v>116.49363369245837</v>
      </c>
      <c r="BN81" s="54">
        <v>622.5</v>
      </c>
      <c r="BO81" s="31">
        <f t="shared" si="81"/>
        <v>104.67462586177905</v>
      </c>
      <c r="BP81" s="31">
        <f t="shared" si="82"/>
        <v>117.8084784254353</v>
      </c>
      <c r="BQ81" s="54">
        <v>645.1</v>
      </c>
      <c r="BR81" s="31">
        <f t="shared" si="83"/>
        <v>103.63052208835342</v>
      </c>
    </row>
    <row r="82" spans="1:70" ht="23.25" customHeight="1" x14ac:dyDescent="0.3">
      <c r="A82" s="26" t="s">
        <v>205</v>
      </c>
      <c r="B82" s="27" t="s">
        <v>206</v>
      </c>
      <c r="C82" s="28">
        <f t="shared" ref="C82:K82" si="88">C86</f>
        <v>4356.97055</v>
      </c>
      <c r="D82" s="28">
        <f t="shared" si="88"/>
        <v>0</v>
      </c>
      <c r="E82" s="28">
        <f t="shared" si="88"/>
        <v>8750.5</v>
      </c>
      <c r="F82" s="28">
        <f t="shared" si="88"/>
        <v>8722.0303600000007</v>
      </c>
      <c r="G82" s="28">
        <f t="shared" si="88"/>
        <v>0</v>
      </c>
      <c r="H82" s="28">
        <f t="shared" si="88"/>
        <v>5268.4</v>
      </c>
      <c r="I82" s="28">
        <f t="shared" si="88"/>
        <v>2241.3249999999998</v>
      </c>
      <c r="J82" s="28">
        <f t="shared" si="88"/>
        <v>5247.8885499999997</v>
      </c>
      <c r="K82" s="28">
        <f t="shared" si="88"/>
        <v>3631</v>
      </c>
      <c r="L82" s="28">
        <f>L86+L85</f>
        <v>11401.5</v>
      </c>
      <c r="M82" s="28">
        <f>M86+M85</f>
        <v>11392.87235</v>
      </c>
      <c r="N82" s="28">
        <f>N86+N85</f>
        <v>11392.87235</v>
      </c>
      <c r="O82" s="28">
        <f>O86</f>
        <v>4817</v>
      </c>
      <c r="P82" s="28">
        <f>P86+P85</f>
        <v>35292.792690000002</v>
      </c>
      <c r="Q82" s="28">
        <f>Q86+Q85</f>
        <v>35292.555460000003</v>
      </c>
      <c r="R82" s="28">
        <f>R86+R85</f>
        <v>35292.555460000003</v>
      </c>
      <c r="S82" s="28">
        <f>S86</f>
        <v>18044.599999999999</v>
      </c>
      <c r="T82" s="28">
        <f>T86+T85+T83</f>
        <v>29626.7</v>
      </c>
      <c r="U82" s="28">
        <f>U86+U85+U83</f>
        <v>29360.37111</v>
      </c>
      <c r="V82" s="28">
        <f>V86+V85+V83</f>
        <v>29360.37111</v>
      </c>
      <c r="W82" s="28">
        <f>W86</f>
        <v>6281.7</v>
      </c>
      <c r="X82" s="28">
        <f>X86+X85+X83</f>
        <v>11291.8</v>
      </c>
      <c r="Y82" s="28">
        <f>Y86+Y85+Y83</f>
        <v>11291.81328</v>
      </c>
      <c r="Z82" s="28">
        <f>Z86+Z85+Z83</f>
        <v>11291.81328</v>
      </c>
      <c r="AA82" s="28">
        <f>AA86</f>
        <v>3067.5</v>
      </c>
      <c r="AB82" s="28">
        <f>AB86+AB85+AB83</f>
        <v>18007</v>
      </c>
      <c r="AC82" s="28">
        <f>AC86+AC85+AC83</f>
        <v>18023.519789999998</v>
      </c>
      <c r="AD82" s="28">
        <f>AD86+AD85+AD83</f>
        <v>18023.519789999998</v>
      </c>
      <c r="AE82" s="28">
        <f>AE86</f>
        <v>1614.6</v>
      </c>
      <c r="AF82" s="28">
        <f>AF86+AF85+AF83</f>
        <v>21160.2</v>
      </c>
      <c r="AG82" s="28">
        <f>AG86+AG85+AG83</f>
        <v>20649.015640000001</v>
      </c>
      <c r="AH82" s="28">
        <f>AH86+AH85+AH83</f>
        <v>20649.015640000001</v>
      </c>
      <c r="AI82" s="28">
        <f>AI86</f>
        <v>2732.1</v>
      </c>
      <c r="AJ82" s="28">
        <f>AJ86</f>
        <v>2353</v>
      </c>
      <c r="AK82" s="28">
        <f>AK86</f>
        <v>2352.9</v>
      </c>
      <c r="AL82" s="28">
        <f>AL86+AL85+AL83</f>
        <v>19792.5</v>
      </c>
      <c r="AM82" s="28">
        <f>AM86+AM85+AM83</f>
        <v>19734.248579999999</v>
      </c>
      <c r="AN82" s="28">
        <f>AN86+AN85+AN83</f>
        <v>19734.248579999999</v>
      </c>
      <c r="AO82" s="28">
        <f>AO86</f>
        <v>3093.9</v>
      </c>
      <c r="AP82" s="28">
        <f>AP86</f>
        <v>1862.2</v>
      </c>
      <c r="AQ82" s="28">
        <f>AQ86</f>
        <v>1862.2</v>
      </c>
      <c r="AR82" s="28">
        <f>AR86+AR85+AR83</f>
        <v>53267.6</v>
      </c>
      <c r="AS82" s="28">
        <f>AS86+AS85+AS83</f>
        <v>57769.599999999999</v>
      </c>
      <c r="AT82" s="28">
        <f>AT86+AT85+AT83</f>
        <v>58069.482219999998</v>
      </c>
      <c r="AU82" s="28">
        <f>AU86+AU85+AU83</f>
        <v>58069.482219999998</v>
      </c>
      <c r="AV82" s="28">
        <f>AV86</f>
        <v>45172.6</v>
      </c>
      <c r="AW82" s="28">
        <f>AW86</f>
        <v>29023.599999999999</v>
      </c>
      <c r="AX82" s="28">
        <f>AX86</f>
        <v>33449.599999999999</v>
      </c>
      <c r="AY82" s="28">
        <f>AY86</f>
        <v>61535.5</v>
      </c>
      <c r="AZ82" s="28">
        <f>AZ86</f>
        <v>72992.800000000003</v>
      </c>
      <c r="BA82" s="29">
        <v>80966.8</v>
      </c>
      <c r="BB82" s="29">
        <f>BB86</f>
        <v>81194.5</v>
      </c>
      <c r="BC82" s="29">
        <f>BC86</f>
        <v>84841.4</v>
      </c>
      <c r="BD82" s="30">
        <f t="shared" si="74"/>
        <v>39668.799999999996</v>
      </c>
      <c r="BE82" s="30">
        <f t="shared" si="75"/>
        <v>187.81606549102773</v>
      </c>
      <c r="BF82" s="29">
        <f>BF86</f>
        <v>84478.57415</v>
      </c>
      <c r="BG82" s="29">
        <f>BG86+BG85+BG83</f>
        <v>84478.57415</v>
      </c>
      <c r="BH82" s="30">
        <f t="shared" si="76"/>
        <v>145.47843535085684</v>
      </c>
      <c r="BI82" s="30">
        <f t="shared" si="77"/>
        <v>187.01286653856542</v>
      </c>
      <c r="BJ82" s="30">
        <f t="shared" si="78"/>
        <v>99.572348110710109</v>
      </c>
      <c r="BK82" s="52">
        <f>BK86</f>
        <v>57645</v>
      </c>
      <c r="BL82" s="31">
        <f t="shared" si="79"/>
        <v>68.236236915700829</v>
      </c>
      <c r="BM82" s="31">
        <f t="shared" si="80"/>
        <v>198.61423117738667</v>
      </c>
      <c r="BN82" s="52">
        <f>BN86</f>
        <v>40723.4</v>
      </c>
      <c r="BO82" s="31">
        <f t="shared" si="81"/>
        <v>70.645155694336026</v>
      </c>
      <c r="BP82" s="31">
        <f t="shared" si="82"/>
        <v>121.74555151631112</v>
      </c>
      <c r="BQ82" s="52">
        <f>BQ86</f>
        <v>40158.800000000003</v>
      </c>
      <c r="BR82" s="31">
        <f t="shared" si="83"/>
        <v>98.613573522839445</v>
      </c>
    </row>
    <row r="83" spans="1:70" ht="27.75" hidden="1" customHeight="1" x14ac:dyDescent="0.3">
      <c r="A83" s="19" t="s">
        <v>207</v>
      </c>
      <c r="B83" s="47" t="s">
        <v>208</v>
      </c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>
        <v>1897.5</v>
      </c>
      <c r="U83" s="28">
        <v>1897.5</v>
      </c>
      <c r="V83" s="28">
        <v>1897.5</v>
      </c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9"/>
      <c r="BB83" s="29"/>
      <c r="BC83" s="29"/>
      <c r="BD83" s="30">
        <f t="shared" si="74"/>
        <v>0</v>
      </c>
      <c r="BE83" s="30" t="e">
        <f t="shared" si="75"/>
        <v>#DIV/0!</v>
      </c>
      <c r="BF83" s="29"/>
      <c r="BG83" s="29"/>
      <c r="BH83" s="30" t="e">
        <f t="shared" si="76"/>
        <v>#DIV/0!</v>
      </c>
      <c r="BI83" s="30" t="e">
        <f t="shared" si="77"/>
        <v>#DIV/0!</v>
      </c>
      <c r="BJ83" s="30" t="e">
        <f t="shared" si="78"/>
        <v>#DIV/0!</v>
      </c>
      <c r="BK83" s="52"/>
      <c r="BL83" s="31" t="e">
        <f t="shared" si="79"/>
        <v>#DIV/0!</v>
      </c>
      <c r="BM83" s="31" t="e">
        <f t="shared" si="80"/>
        <v>#DIV/0!</v>
      </c>
      <c r="BN83" s="52"/>
      <c r="BO83" s="31" t="e">
        <f t="shared" si="81"/>
        <v>#DIV/0!</v>
      </c>
      <c r="BP83" s="31" t="e">
        <f t="shared" si="82"/>
        <v>#DIV/0!</v>
      </c>
      <c r="BQ83" s="52"/>
      <c r="BR83" s="31" t="e">
        <f t="shared" si="83"/>
        <v>#DIV/0!</v>
      </c>
    </row>
    <row r="84" spans="1:70" ht="27.75" hidden="1" customHeight="1" x14ac:dyDescent="0.3">
      <c r="A84" s="19" t="s">
        <v>209</v>
      </c>
      <c r="B84" s="47" t="s">
        <v>210</v>
      </c>
      <c r="C84" s="31"/>
      <c r="D84" s="28"/>
      <c r="E84" s="28"/>
      <c r="F84" s="31">
        <v>5594</v>
      </c>
      <c r="G84" s="31"/>
      <c r="H84" s="31">
        <v>594</v>
      </c>
      <c r="I84" s="31"/>
      <c r="J84" s="31">
        <v>594</v>
      </c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0"/>
      <c r="BB84" s="30"/>
      <c r="BC84" s="30"/>
      <c r="BD84" s="30">
        <f t="shared" si="74"/>
        <v>0</v>
      </c>
      <c r="BE84" s="30" t="e">
        <f t="shared" si="75"/>
        <v>#DIV/0!</v>
      </c>
      <c r="BF84" s="30"/>
      <c r="BG84" s="30"/>
      <c r="BH84" s="30" t="e">
        <f t="shared" si="76"/>
        <v>#DIV/0!</v>
      </c>
      <c r="BI84" s="30" t="e">
        <f t="shared" si="77"/>
        <v>#DIV/0!</v>
      </c>
      <c r="BJ84" s="30" t="e">
        <f t="shared" si="78"/>
        <v>#DIV/0!</v>
      </c>
      <c r="BK84" s="54"/>
      <c r="BL84" s="31" t="e">
        <f t="shared" si="79"/>
        <v>#DIV/0!</v>
      </c>
      <c r="BM84" s="31" t="e">
        <f t="shared" si="80"/>
        <v>#DIV/0!</v>
      </c>
      <c r="BN84" s="54"/>
      <c r="BO84" s="31" t="e">
        <f t="shared" si="81"/>
        <v>#DIV/0!</v>
      </c>
      <c r="BP84" s="31" t="e">
        <f t="shared" si="82"/>
        <v>#DIV/0!</v>
      </c>
      <c r="BQ84" s="54"/>
      <c r="BR84" s="31" t="e">
        <f t="shared" si="83"/>
        <v>#DIV/0!</v>
      </c>
    </row>
    <row r="85" spans="1:70" ht="27.75" hidden="1" customHeight="1" x14ac:dyDescent="0.3">
      <c r="A85" s="42" t="s">
        <v>211</v>
      </c>
      <c r="B85" s="38" t="s">
        <v>212</v>
      </c>
      <c r="C85" s="31"/>
      <c r="D85" s="28"/>
      <c r="E85" s="28"/>
      <c r="F85" s="31"/>
      <c r="G85" s="31"/>
      <c r="H85" s="31"/>
      <c r="I85" s="31"/>
      <c r="J85" s="31"/>
      <c r="K85" s="31"/>
      <c r="L85" s="31">
        <v>112.8</v>
      </c>
      <c r="M85" s="31">
        <v>112.8</v>
      </c>
      <c r="N85" s="31">
        <v>112.8</v>
      </c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0"/>
      <c r="BB85" s="30"/>
      <c r="BC85" s="30"/>
      <c r="BD85" s="30">
        <f t="shared" si="74"/>
        <v>0</v>
      </c>
      <c r="BE85" s="30" t="e">
        <f t="shared" si="75"/>
        <v>#DIV/0!</v>
      </c>
      <c r="BF85" s="30"/>
      <c r="BG85" s="30"/>
      <c r="BH85" s="30" t="e">
        <f t="shared" si="76"/>
        <v>#DIV/0!</v>
      </c>
      <c r="BI85" s="30" t="e">
        <f t="shared" si="77"/>
        <v>#DIV/0!</v>
      </c>
      <c r="BJ85" s="30" t="e">
        <f t="shared" si="78"/>
        <v>#DIV/0!</v>
      </c>
      <c r="BK85" s="54"/>
      <c r="BL85" s="31" t="e">
        <f t="shared" si="79"/>
        <v>#DIV/0!</v>
      </c>
      <c r="BM85" s="31" t="e">
        <f t="shared" si="80"/>
        <v>#DIV/0!</v>
      </c>
      <c r="BN85" s="54"/>
      <c r="BO85" s="31" t="e">
        <f t="shared" si="81"/>
        <v>#DIV/0!</v>
      </c>
      <c r="BP85" s="31" t="e">
        <f t="shared" si="82"/>
        <v>#DIV/0!</v>
      </c>
      <c r="BQ85" s="54"/>
      <c r="BR85" s="31" t="e">
        <f t="shared" si="83"/>
        <v>#DIV/0!</v>
      </c>
    </row>
    <row r="86" spans="1:70" ht="37.5" hidden="1" customHeight="1" x14ac:dyDescent="0.3">
      <c r="A86" s="55" t="s">
        <v>213</v>
      </c>
      <c r="B86" s="56" t="s">
        <v>214</v>
      </c>
      <c r="C86" s="28">
        <v>4356.97055</v>
      </c>
      <c r="D86" s="28">
        <v>0</v>
      </c>
      <c r="E86" s="28">
        <v>8750.5</v>
      </c>
      <c r="F86" s="28">
        <v>8722.0303600000007</v>
      </c>
      <c r="G86" s="28">
        <v>0</v>
      </c>
      <c r="H86" s="28">
        <v>5268.4</v>
      </c>
      <c r="I86" s="28">
        <v>2241.3249999999998</v>
      </c>
      <c r="J86" s="28">
        <v>5247.8885499999997</v>
      </c>
      <c r="K86" s="28">
        <v>3631</v>
      </c>
      <c r="L86" s="28">
        <v>11288.7</v>
      </c>
      <c r="M86" s="28">
        <v>11280.07235</v>
      </c>
      <c r="N86" s="28">
        <v>11280.07235</v>
      </c>
      <c r="O86" s="28">
        <v>4817</v>
      </c>
      <c r="P86" s="28">
        <v>35292.792690000002</v>
      </c>
      <c r="Q86" s="28">
        <v>35292.555460000003</v>
      </c>
      <c r="R86" s="28">
        <v>35292.555460000003</v>
      </c>
      <c r="S86" s="28">
        <v>18044.599999999999</v>
      </c>
      <c r="T86" s="28">
        <v>27729.200000000001</v>
      </c>
      <c r="U86" s="28">
        <v>27462.87111</v>
      </c>
      <c r="V86" s="28">
        <v>27462.87111</v>
      </c>
      <c r="W86" s="28">
        <v>6281.7</v>
      </c>
      <c r="X86" s="28">
        <v>11291.8</v>
      </c>
      <c r="Y86" s="28">
        <v>11291.81328</v>
      </c>
      <c r="Z86" s="28">
        <v>11291.81328</v>
      </c>
      <c r="AA86" s="28">
        <v>3067.5</v>
      </c>
      <c r="AB86" s="28">
        <v>18007</v>
      </c>
      <c r="AC86" s="28">
        <v>18023.519789999998</v>
      </c>
      <c r="AD86" s="28">
        <v>18023.519789999998</v>
      </c>
      <c r="AE86" s="28">
        <v>1614.6</v>
      </c>
      <c r="AF86" s="28">
        <v>21160.2</v>
      </c>
      <c r="AG86" s="28">
        <v>20649.015640000001</v>
      </c>
      <c r="AH86" s="28">
        <v>20649.015640000001</v>
      </c>
      <c r="AI86" s="28">
        <v>2732.1</v>
      </c>
      <c r="AJ86" s="28">
        <v>2353</v>
      </c>
      <c r="AK86" s="28">
        <v>2352.9</v>
      </c>
      <c r="AL86" s="28">
        <v>19792.5</v>
      </c>
      <c r="AM86" s="28">
        <v>19734.248579999999</v>
      </c>
      <c r="AN86" s="28">
        <v>19734.248579999999</v>
      </c>
      <c r="AO86" s="28">
        <v>3093.9</v>
      </c>
      <c r="AP86" s="28">
        <v>1862.2</v>
      </c>
      <c r="AQ86" s="28">
        <v>1862.2</v>
      </c>
      <c r="AR86" s="28">
        <v>53267.6</v>
      </c>
      <c r="AS86" s="28">
        <v>57769.599999999999</v>
      </c>
      <c r="AT86" s="28">
        <v>58069.482219999998</v>
      </c>
      <c r="AU86" s="28">
        <v>58069.482219999998</v>
      </c>
      <c r="AV86" s="28">
        <v>45172.6</v>
      </c>
      <c r="AW86" s="28">
        <v>29023.599999999999</v>
      </c>
      <c r="AX86" s="28">
        <v>33449.599999999999</v>
      </c>
      <c r="AY86" s="28">
        <v>61535.5</v>
      </c>
      <c r="AZ86" s="28">
        <v>72992.800000000003</v>
      </c>
      <c r="BA86" s="29"/>
      <c r="BB86" s="29">
        <v>81194.5</v>
      </c>
      <c r="BC86" s="29">
        <f>35111.2+49730.2</f>
        <v>84841.4</v>
      </c>
      <c r="BD86" s="30">
        <f t="shared" si="74"/>
        <v>39668.799999999996</v>
      </c>
      <c r="BE86" s="30">
        <f t="shared" si="75"/>
        <v>187.81606549102773</v>
      </c>
      <c r="BF86" s="29">
        <v>84478.57415</v>
      </c>
      <c r="BG86" s="29">
        <v>84478.57415</v>
      </c>
      <c r="BH86" s="30">
        <f t="shared" si="76"/>
        <v>145.47843535085684</v>
      </c>
      <c r="BI86" s="30">
        <f t="shared" si="77"/>
        <v>187.01286653856542</v>
      </c>
      <c r="BJ86" s="30">
        <f t="shared" si="78"/>
        <v>99.572348110710109</v>
      </c>
      <c r="BK86" s="52">
        <v>57645</v>
      </c>
      <c r="BL86" s="31">
        <f t="shared" si="79"/>
        <v>68.236236915700829</v>
      </c>
      <c r="BM86" s="31">
        <v>155.64092669413856</v>
      </c>
      <c r="BN86" s="52">
        <v>40723.4</v>
      </c>
      <c r="BO86" s="31">
        <v>64.250452708057537</v>
      </c>
      <c r="BP86" s="31">
        <v>86.768152683440164</v>
      </c>
      <c r="BQ86" s="52">
        <v>40158.800000000003</v>
      </c>
      <c r="BR86" s="31">
        <v>115.2496588982759</v>
      </c>
    </row>
    <row r="87" spans="1:70" ht="27.75" hidden="1" customHeight="1" x14ac:dyDescent="0.3">
      <c r="A87" s="55"/>
      <c r="B87" s="47" t="s">
        <v>215</v>
      </c>
      <c r="C87" s="31"/>
      <c r="D87" s="31"/>
      <c r="E87" s="31"/>
      <c r="F87" s="31"/>
      <c r="G87" s="31"/>
      <c r="H87" s="31"/>
      <c r="I87" s="31"/>
      <c r="J87" s="31"/>
      <c r="K87" s="31">
        <v>1722.8</v>
      </c>
      <c r="L87" s="31">
        <v>1722.8</v>
      </c>
      <c r="M87" s="31">
        <v>1714.2</v>
      </c>
      <c r="N87" s="31"/>
      <c r="O87" s="31">
        <v>1340.8</v>
      </c>
      <c r="P87" s="31">
        <f>1340.8+3184</f>
        <v>4524.8</v>
      </c>
      <c r="Q87" s="31">
        <f>1340.8+3184</f>
        <v>4524.8</v>
      </c>
      <c r="R87" s="31"/>
      <c r="S87" s="31">
        <f>1127.1+3360</f>
        <v>4487.1000000000004</v>
      </c>
      <c r="T87" s="31">
        <f>1127.1+3360</f>
        <v>4487.1000000000004</v>
      </c>
      <c r="U87" s="31">
        <f>1126.8+3360</f>
        <v>4486.8</v>
      </c>
      <c r="V87" s="31"/>
      <c r="W87" s="31">
        <v>1313.8</v>
      </c>
      <c r="X87" s="31">
        <v>2071</v>
      </c>
      <c r="Y87" s="31">
        <v>2070.9645399999999</v>
      </c>
      <c r="Z87" s="31"/>
      <c r="AA87" s="31">
        <v>1288.4000000000001</v>
      </c>
      <c r="AB87" s="31">
        <v>1288.4000000000001</v>
      </c>
      <c r="AC87" s="31">
        <v>1275.50602</v>
      </c>
      <c r="AD87" s="31"/>
      <c r="AE87" s="31">
        <v>1156.3</v>
      </c>
      <c r="AF87" s="31">
        <v>1156.3</v>
      </c>
      <c r="AG87" s="31">
        <v>1156.3</v>
      </c>
      <c r="AH87" s="31"/>
      <c r="AI87" s="31">
        <v>1375</v>
      </c>
      <c r="AJ87" s="31">
        <v>995</v>
      </c>
      <c r="AK87" s="31">
        <v>995</v>
      </c>
      <c r="AL87" s="31">
        <v>1375</v>
      </c>
      <c r="AM87" s="31">
        <v>1375</v>
      </c>
      <c r="AN87" s="31"/>
      <c r="AO87" s="31">
        <v>1844.9</v>
      </c>
      <c r="AP87" s="31">
        <v>995</v>
      </c>
      <c r="AQ87" s="31">
        <v>995</v>
      </c>
      <c r="AR87" s="31">
        <f>995+225.2+4658.5</f>
        <v>5878.7</v>
      </c>
      <c r="AS87" s="31">
        <f>995+225.2+5255.2</f>
        <v>6475.4</v>
      </c>
      <c r="AT87" s="31">
        <f>995+225.2235+5255.2</f>
        <v>6475.4234999999999</v>
      </c>
      <c r="AU87" s="31"/>
      <c r="AV87" s="31">
        <v>0</v>
      </c>
      <c r="AW87" s="31">
        <v>995</v>
      </c>
      <c r="AX87" s="31">
        <v>995</v>
      </c>
      <c r="AY87" s="31"/>
      <c r="AZ87" s="31"/>
      <c r="BA87" s="30">
        <v>1218</v>
      </c>
      <c r="BB87" s="30">
        <v>1218</v>
      </c>
      <c r="BC87" s="30">
        <v>1218</v>
      </c>
      <c r="BD87" s="30">
        <f t="shared" si="74"/>
        <v>1218</v>
      </c>
      <c r="BE87" s="30" t="e">
        <f t="shared" si="75"/>
        <v>#DIV/0!</v>
      </c>
      <c r="BF87" s="30">
        <v>1218</v>
      </c>
      <c r="BG87" s="30"/>
      <c r="BH87" s="30">
        <f t="shared" si="76"/>
        <v>18.809580562568613</v>
      </c>
      <c r="BI87" s="30" t="e">
        <f t="shared" si="77"/>
        <v>#DIV/0!</v>
      </c>
      <c r="BJ87" s="30">
        <f t="shared" si="78"/>
        <v>100</v>
      </c>
      <c r="BK87" s="54">
        <v>995</v>
      </c>
      <c r="BL87" s="31">
        <f t="shared" si="79"/>
        <v>81.691297208538586</v>
      </c>
      <c r="BM87" s="31">
        <f t="shared" si="80"/>
        <v>100</v>
      </c>
      <c r="BN87" s="54">
        <v>995</v>
      </c>
      <c r="BO87" s="31">
        <f t="shared" si="81"/>
        <v>100</v>
      </c>
      <c r="BP87" s="31">
        <f t="shared" si="82"/>
        <v>100</v>
      </c>
      <c r="BQ87" s="54">
        <v>995</v>
      </c>
      <c r="BR87" s="31">
        <f t="shared" si="83"/>
        <v>100</v>
      </c>
    </row>
    <row r="88" spans="1:70" ht="33" hidden="1" customHeight="1" x14ac:dyDescent="0.3">
      <c r="A88" s="55"/>
      <c r="B88" s="47" t="s">
        <v>216</v>
      </c>
      <c r="C88" s="31"/>
      <c r="D88" s="31">
        <v>0</v>
      </c>
      <c r="E88" s="31">
        <v>3156.5</v>
      </c>
      <c r="F88" s="31">
        <v>915.13018999999997</v>
      </c>
      <c r="G88" s="31"/>
      <c r="H88" s="31">
        <v>728.15854999999999</v>
      </c>
      <c r="I88" s="31"/>
      <c r="J88" s="31">
        <v>728.15854999999999</v>
      </c>
      <c r="K88" s="31"/>
      <c r="L88" s="31">
        <v>957.3</v>
      </c>
      <c r="M88" s="31">
        <v>957.2</v>
      </c>
      <c r="N88" s="31"/>
      <c r="O88" s="31"/>
      <c r="P88" s="31">
        <v>1124.6926900000001</v>
      </c>
      <c r="Q88" s="31">
        <v>1124.6926900000001</v>
      </c>
      <c r="R88" s="31"/>
      <c r="S88" s="31"/>
      <c r="T88" s="31">
        <v>1045</v>
      </c>
      <c r="U88" s="31">
        <v>1045</v>
      </c>
      <c r="V88" s="31"/>
      <c r="W88" s="31"/>
      <c r="X88" s="31">
        <v>829.9</v>
      </c>
      <c r="Y88" s="31">
        <v>829.86928</v>
      </c>
      <c r="Z88" s="31"/>
      <c r="AA88" s="31"/>
      <c r="AB88" s="31">
        <v>829.2</v>
      </c>
      <c r="AC88" s="31">
        <v>912.27362000000005</v>
      </c>
      <c r="AD88" s="31"/>
      <c r="AE88" s="31"/>
      <c r="AF88" s="31">
        <v>2990</v>
      </c>
      <c r="AG88" s="31">
        <v>2969.34429</v>
      </c>
      <c r="AH88" s="31"/>
      <c r="AI88" s="31">
        <v>476.4</v>
      </c>
      <c r="AJ88" s="31">
        <v>476.4</v>
      </c>
      <c r="AK88" s="31">
        <v>476.4</v>
      </c>
      <c r="AL88" s="31">
        <v>1060.8</v>
      </c>
      <c r="AM88" s="31">
        <v>1009.07586</v>
      </c>
      <c r="AN88" s="31"/>
      <c r="AO88" s="31">
        <v>381.8</v>
      </c>
      <c r="AP88" s="31"/>
      <c r="AQ88" s="31"/>
      <c r="AR88" s="31">
        <v>1007.4</v>
      </c>
      <c r="AS88" s="31">
        <v>1305.7</v>
      </c>
      <c r="AT88" s="31">
        <v>1305.6500000000001</v>
      </c>
      <c r="AU88" s="31"/>
      <c r="AV88" s="31">
        <v>1835.9</v>
      </c>
      <c r="AW88" s="31"/>
      <c r="AX88" s="31"/>
      <c r="AY88" s="31"/>
      <c r="AZ88" s="31"/>
      <c r="BA88" s="30"/>
      <c r="BB88" s="30">
        <f>1128.4+2211.8+128.6</f>
        <v>3468.8</v>
      </c>
      <c r="BC88" s="30">
        <f>1560.4+2211.8+128.6</f>
        <v>3900.8</v>
      </c>
      <c r="BD88" s="30">
        <f t="shared" si="74"/>
        <v>2064.9</v>
      </c>
      <c r="BE88" s="30">
        <f t="shared" si="75"/>
        <v>212.47344626613648</v>
      </c>
      <c r="BF88" s="54">
        <v>3537.9704299999999</v>
      </c>
      <c r="BG88" s="30"/>
      <c r="BH88" s="30">
        <f t="shared" si="76"/>
        <v>270.97387737908321</v>
      </c>
      <c r="BI88" s="30">
        <f t="shared" si="77"/>
        <v>192.7104106977504</v>
      </c>
      <c r="BJ88" s="30">
        <f t="shared" si="78"/>
        <v>90.69858567473338</v>
      </c>
      <c r="BK88" s="54">
        <v>1464.7</v>
      </c>
      <c r="BL88" s="31">
        <f t="shared" si="79"/>
        <v>41.399441543664913</v>
      </c>
      <c r="BM88" s="31" t="e">
        <f t="shared" si="80"/>
        <v>#DIV/0!</v>
      </c>
      <c r="BN88" s="54"/>
      <c r="BO88" s="31">
        <f t="shared" si="81"/>
        <v>0</v>
      </c>
      <c r="BP88" s="31" t="e">
        <f t="shared" si="82"/>
        <v>#DIV/0!</v>
      </c>
      <c r="BQ88" s="54"/>
      <c r="BR88" s="31" t="e">
        <f t="shared" si="83"/>
        <v>#DIV/0!</v>
      </c>
    </row>
    <row r="89" spans="1:70" ht="27.75" hidden="1" customHeight="1" x14ac:dyDescent="0.3">
      <c r="A89" s="55"/>
      <c r="B89" s="47" t="s">
        <v>217</v>
      </c>
      <c r="C89" s="31"/>
      <c r="D89" s="31"/>
      <c r="E89" s="31">
        <v>915.13018999999997</v>
      </c>
      <c r="F89" s="31">
        <v>25</v>
      </c>
      <c r="G89" s="31"/>
      <c r="H89" s="31">
        <v>25</v>
      </c>
      <c r="I89" s="31"/>
      <c r="J89" s="31">
        <v>25</v>
      </c>
      <c r="K89" s="31">
        <v>30</v>
      </c>
      <c r="L89" s="31">
        <v>30</v>
      </c>
      <c r="M89" s="31">
        <v>30</v>
      </c>
      <c r="N89" s="31"/>
      <c r="O89" s="31">
        <v>30</v>
      </c>
      <c r="P89" s="31">
        <v>30</v>
      </c>
      <c r="Q89" s="31">
        <v>30</v>
      </c>
      <c r="R89" s="31"/>
      <c r="S89" s="31">
        <v>30</v>
      </c>
      <c r="T89" s="31">
        <f>30+105</f>
        <v>135</v>
      </c>
      <c r="U89" s="31">
        <f>30+105</f>
        <v>135</v>
      </c>
      <c r="V89" s="31"/>
      <c r="W89" s="31">
        <v>30</v>
      </c>
      <c r="X89" s="31">
        <f>30+112.5</f>
        <v>142.5</v>
      </c>
      <c r="Y89" s="31">
        <f>30+112.5</f>
        <v>142.5</v>
      </c>
      <c r="Z89" s="31"/>
      <c r="AA89" s="31">
        <v>30</v>
      </c>
      <c r="AB89" s="31">
        <v>30</v>
      </c>
      <c r="AC89" s="31">
        <v>30</v>
      </c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0"/>
      <c r="BB89" s="30">
        <v>84.5</v>
      </c>
      <c r="BC89" s="30">
        <v>80.2</v>
      </c>
      <c r="BD89" s="30">
        <f t="shared" si="74"/>
        <v>80.2</v>
      </c>
      <c r="BE89" s="30" t="e">
        <f t="shared" si="75"/>
        <v>#DIV/0!</v>
      </c>
      <c r="BF89" s="54">
        <v>80.152600000000007</v>
      </c>
      <c r="BG89" s="30"/>
      <c r="BH89" s="30" t="e">
        <f t="shared" si="76"/>
        <v>#DIV/0!</v>
      </c>
      <c r="BI89" s="30" t="e">
        <f t="shared" si="77"/>
        <v>#DIV/0!</v>
      </c>
      <c r="BJ89" s="30">
        <f t="shared" si="78"/>
        <v>99.940897755610976</v>
      </c>
      <c r="BK89" s="54"/>
      <c r="BL89" s="31">
        <f t="shared" si="79"/>
        <v>0</v>
      </c>
      <c r="BM89" s="31" t="e">
        <f t="shared" si="80"/>
        <v>#DIV/0!</v>
      </c>
      <c r="BN89" s="54"/>
      <c r="BO89" s="31" t="e">
        <f t="shared" si="81"/>
        <v>#DIV/0!</v>
      </c>
      <c r="BP89" s="31" t="e">
        <f t="shared" si="82"/>
        <v>#DIV/0!</v>
      </c>
      <c r="BQ89" s="54"/>
      <c r="BR89" s="31" t="e">
        <f t="shared" si="83"/>
        <v>#DIV/0!</v>
      </c>
    </row>
    <row r="90" spans="1:70" ht="27.75" hidden="1" customHeight="1" x14ac:dyDescent="0.3">
      <c r="A90" s="55"/>
      <c r="B90" s="47" t="s">
        <v>218</v>
      </c>
      <c r="C90" s="31"/>
      <c r="D90" s="31"/>
      <c r="E90" s="31">
        <v>25</v>
      </c>
      <c r="F90" s="31">
        <v>15</v>
      </c>
      <c r="G90" s="31"/>
      <c r="H90" s="31">
        <f>21.93+85</f>
        <v>106.93</v>
      </c>
      <c r="I90" s="31"/>
      <c r="J90" s="31">
        <f>21.93+85</f>
        <v>106.93</v>
      </c>
      <c r="K90" s="31">
        <f>376.1+250</f>
        <v>626.1</v>
      </c>
      <c r="L90" s="31">
        <f>227.6+254</f>
        <v>481.6</v>
      </c>
      <c r="M90" s="31">
        <f>227.7+254</f>
        <v>481.7</v>
      </c>
      <c r="N90" s="31"/>
      <c r="O90" s="31">
        <f>43.2+250+3153</f>
        <v>3446.2</v>
      </c>
      <c r="P90" s="31">
        <f>13.2+250+3153</f>
        <v>3416.2</v>
      </c>
      <c r="Q90" s="31">
        <f>13.2+250+3153</f>
        <v>3416.2</v>
      </c>
      <c r="R90" s="31"/>
      <c r="S90" s="31">
        <v>16.5</v>
      </c>
      <c r="T90" s="31">
        <f>16.5+15</f>
        <v>31.5</v>
      </c>
      <c r="U90" s="31">
        <f>16.5+15</f>
        <v>31.5</v>
      </c>
      <c r="V90" s="31"/>
      <c r="W90" s="31">
        <v>88.8</v>
      </c>
      <c r="X90" s="31">
        <f>88.8+112</f>
        <v>200.8</v>
      </c>
      <c r="Y90" s="31">
        <f>88.8+112</f>
        <v>200.8</v>
      </c>
      <c r="Z90" s="31"/>
      <c r="AA90" s="31">
        <v>13</v>
      </c>
      <c r="AB90" s="31">
        <f>13+1000+2000</f>
        <v>3013</v>
      </c>
      <c r="AC90" s="31">
        <f>13+1000+2000</f>
        <v>3013</v>
      </c>
      <c r="AD90" s="31"/>
      <c r="AE90" s="31">
        <v>13</v>
      </c>
      <c r="AF90" s="31">
        <v>13</v>
      </c>
      <c r="AG90" s="31">
        <v>13</v>
      </c>
      <c r="AH90" s="31"/>
      <c r="AI90" s="31">
        <v>13</v>
      </c>
      <c r="AJ90" s="31">
        <v>13</v>
      </c>
      <c r="AK90" s="31">
        <v>13</v>
      </c>
      <c r="AL90" s="31"/>
      <c r="AM90" s="31"/>
      <c r="AN90" s="31"/>
      <c r="AO90" s="31"/>
      <c r="AP90" s="31"/>
      <c r="AQ90" s="31"/>
      <c r="AR90" s="31">
        <v>302.5</v>
      </c>
      <c r="AS90" s="31">
        <v>302.5</v>
      </c>
      <c r="AT90" s="31">
        <v>302.505</v>
      </c>
      <c r="AU90" s="31"/>
      <c r="AV90" s="31">
        <v>317</v>
      </c>
      <c r="AW90" s="31">
        <v>317</v>
      </c>
      <c r="AX90" s="31">
        <v>317</v>
      </c>
      <c r="AY90" s="31"/>
      <c r="AZ90" s="31"/>
      <c r="BA90" s="30"/>
      <c r="BB90" s="30">
        <f>317+25</f>
        <v>342</v>
      </c>
      <c r="BC90" s="30">
        <f>317+25</f>
        <v>342</v>
      </c>
      <c r="BD90" s="30">
        <f t="shared" si="74"/>
        <v>25</v>
      </c>
      <c r="BE90" s="30">
        <f t="shared" si="75"/>
        <v>107.88643533123027</v>
      </c>
      <c r="BF90" s="54">
        <f>25+317</f>
        <v>342</v>
      </c>
      <c r="BG90" s="30"/>
      <c r="BH90" s="30">
        <f t="shared" si="76"/>
        <v>113.05598254574305</v>
      </c>
      <c r="BI90" s="30">
        <f t="shared" si="77"/>
        <v>107.88643533123027</v>
      </c>
      <c r="BJ90" s="30">
        <f t="shared" si="78"/>
        <v>100</v>
      </c>
      <c r="BK90" s="54">
        <v>317</v>
      </c>
      <c r="BL90" s="31">
        <f t="shared" si="79"/>
        <v>92.690058479532169</v>
      </c>
      <c r="BM90" s="31">
        <f t="shared" si="80"/>
        <v>100</v>
      </c>
      <c r="BN90" s="54">
        <v>317</v>
      </c>
      <c r="BO90" s="31">
        <f t="shared" si="81"/>
        <v>100</v>
      </c>
      <c r="BP90" s="31">
        <f t="shared" si="82"/>
        <v>100</v>
      </c>
      <c r="BQ90" s="54">
        <v>317</v>
      </c>
      <c r="BR90" s="31">
        <f t="shared" si="83"/>
        <v>100</v>
      </c>
    </row>
    <row r="91" spans="1:70" ht="27.75" hidden="1" customHeight="1" x14ac:dyDescent="0.3">
      <c r="A91" s="55"/>
      <c r="B91" s="47" t="s">
        <v>219</v>
      </c>
      <c r="C91" s="31"/>
      <c r="D91" s="31"/>
      <c r="E91" s="31">
        <f>15+650+939.8</f>
        <v>1604.8</v>
      </c>
      <c r="F91" s="31">
        <f>61.58417+550</f>
        <v>611.58416999999997</v>
      </c>
      <c r="G91" s="31"/>
      <c r="H91" s="31"/>
      <c r="I91" s="31"/>
      <c r="J91" s="31"/>
      <c r="K91" s="31">
        <v>752</v>
      </c>
      <c r="L91" s="31">
        <f>7064+300</f>
        <v>7364</v>
      </c>
      <c r="M91" s="31">
        <f>752+6312+300</f>
        <v>7364</v>
      </c>
      <c r="N91" s="31"/>
      <c r="O91" s="31"/>
      <c r="P91" s="31">
        <v>24171.200000000001</v>
      </c>
      <c r="Q91" s="31">
        <v>24170.962769999998</v>
      </c>
      <c r="R91" s="31"/>
      <c r="S91" s="31">
        <v>10000</v>
      </c>
      <c r="T91" s="31">
        <v>15339.6</v>
      </c>
      <c r="U91" s="31">
        <v>15339.4</v>
      </c>
      <c r="V91" s="31"/>
      <c r="W91" s="31">
        <v>4412.8</v>
      </c>
      <c r="X91" s="31">
        <v>7309.7</v>
      </c>
      <c r="Y91" s="31">
        <v>7309.6564600000002</v>
      </c>
      <c r="Z91" s="31"/>
      <c r="AA91" s="31"/>
      <c r="AB91" s="31"/>
      <c r="AC91" s="31"/>
      <c r="AD91" s="31"/>
      <c r="AE91" s="31"/>
      <c r="AF91" s="31">
        <v>9631.7999999999993</v>
      </c>
      <c r="AG91" s="31">
        <v>9631.85</v>
      </c>
      <c r="AH91" s="31"/>
      <c r="AI91" s="31"/>
      <c r="AJ91" s="31"/>
      <c r="AK91" s="31"/>
      <c r="AL91" s="31"/>
      <c r="AM91" s="31"/>
      <c r="AN91" s="31"/>
      <c r="AO91" s="31">
        <v>334</v>
      </c>
      <c r="AP91" s="31">
        <v>334</v>
      </c>
      <c r="AQ91" s="31">
        <v>334</v>
      </c>
      <c r="AR91" s="31">
        <f>334+698.9</f>
        <v>1032.9000000000001</v>
      </c>
      <c r="AS91" s="31">
        <f>334+998.9+1200</f>
        <v>2532.9</v>
      </c>
      <c r="AT91" s="31">
        <f>333.91345+998.91+1200.03747+300</f>
        <v>2832.8609200000001</v>
      </c>
      <c r="AU91" s="31"/>
      <c r="AV91" s="31">
        <v>334</v>
      </c>
      <c r="AW91" s="31">
        <v>334</v>
      </c>
      <c r="AX91" s="31">
        <v>334</v>
      </c>
      <c r="AY91" s="31"/>
      <c r="AZ91" s="31"/>
      <c r="BA91" s="30"/>
      <c r="BB91" s="30">
        <f>375+1045+860+282+12944.8+2284.4+334</f>
        <v>18125.2</v>
      </c>
      <c r="BC91" s="30">
        <f>333.9+12025.7+2122.2+282+1045+375+860</f>
        <v>17043.8</v>
      </c>
      <c r="BD91" s="30">
        <f t="shared" si="74"/>
        <v>16709.8</v>
      </c>
      <c r="BE91" s="30">
        <f t="shared" si="75"/>
        <v>5102.934131736527</v>
      </c>
      <c r="BF91" s="54">
        <f>860+375+1044.98315+333.90447+282.0204+14147.89842</f>
        <v>17043.80644</v>
      </c>
      <c r="BG91" s="30"/>
      <c r="BH91" s="30">
        <f t="shared" si="76"/>
        <v>601.64642463280552</v>
      </c>
      <c r="BI91" s="30">
        <f t="shared" si="77"/>
        <v>5102.9360598802396</v>
      </c>
      <c r="BJ91" s="30">
        <f t="shared" si="78"/>
        <v>100.000037785001</v>
      </c>
      <c r="BK91" s="54">
        <v>1284.4000000000001</v>
      </c>
      <c r="BL91" s="31">
        <f t="shared" si="79"/>
        <v>7.5358753018084617</v>
      </c>
      <c r="BM91" s="31">
        <f t="shared" si="80"/>
        <v>384.55089820359285</v>
      </c>
      <c r="BN91" s="54">
        <v>1284.4000000000001</v>
      </c>
      <c r="BO91" s="31">
        <f t="shared" si="81"/>
        <v>100</v>
      </c>
      <c r="BP91" s="31">
        <f t="shared" si="82"/>
        <v>384.55089820359285</v>
      </c>
      <c r="BQ91" s="54">
        <v>1284.4000000000001</v>
      </c>
      <c r="BR91" s="31">
        <f t="shared" si="83"/>
        <v>100</v>
      </c>
    </row>
    <row r="92" spans="1:70" ht="27.75" hidden="1" customHeight="1" x14ac:dyDescent="0.3">
      <c r="A92" s="55"/>
      <c r="B92" s="47" t="s">
        <v>220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>
        <v>2215</v>
      </c>
      <c r="U92" s="31">
        <v>2214.4</v>
      </c>
      <c r="V92" s="31"/>
      <c r="W92" s="31"/>
      <c r="X92" s="31"/>
      <c r="Y92" s="31"/>
      <c r="Z92" s="31"/>
      <c r="AA92" s="31"/>
      <c r="AB92" s="31">
        <f>5036.8+6000</f>
        <v>11036.8</v>
      </c>
      <c r="AC92" s="31">
        <f>5036.7795+5946.36065</f>
        <v>10983.140149999999</v>
      </c>
      <c r="AD92" s="31"/>
      <c r="AE92" s="31"/>
      <c r="AF92" s="31">
        <f>2418.3+353.6</f>
        <v>2771.9</v>
      </c>
      <c r="AG92" s="31">
        <f>2418.296+53.63935+37.452</f>
        <v>2509.38735</v>
      </c>
      <c r="AH92" s="31"/>
      <c r="AI92" s="31"/>
      <c r="AJ92" s="31"/>
      <c r="AK92" s="31"/>
      <c r="AL92" s="31">
        <v>150</v>
      </c>
      <c r="AM92" s="31">
        <v>150</v>
      </c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0"/>
      <c r="BB92" s="30">
        <f>3218.3+5033.8+1456.3+802.8</f>
        <v>10511.199999999999</v>
      </c>
      <c r="BC92" s="30">
        <f>3218.3+5033.8+1456.2+1075.3</f>
        <v>10783.6</v>
      </c>
      <c r="BD92" s="30">
        <f t="shared" si="74"/>
        <v>10783.6</v>
      </c>
      <c r="BE92" s="30" t="e">
        <f t="shared" si="75"/>
        <v>#DIV/0!</v>
      </c>
      <c r="BF92" s="54">
        <f>1075.30531+9708.29569</f>
        <v>10783.601000000001</v>
      </c>
      <c r="BG92" s="30"/>
      <c r="BH92" s="30" t="e">
        <f t="shared" si="76"/>
        <v>#DIV/0!</v>
      </c>
      <c r="BI92" s="30" t="e">
        <f t="shared" si="77"/>
        <v>#DIV/0!</v>
      </c>
      <c r="BJ92" s="30">
        <f t="shared" si="78"/>
        <v>100.00000927334101</v>
      </c>
      <c r="BK92" s="54">
        <v>450</v>
      </c>
      <c r="BL92" s="31">
        <f t="shared" si="79"/>
        <v>4.173003062706047</v>
      </c>
      <c r="BM92" s="31" t="e">
        <f t="shared" si="80"/>
        <v>#DIV/0!</v>
      </c>
      <c r="BN92" s="54">
        <v>450</v>
      </c>
      <c r="BO92" s="31">
        <f t="shared" si="81"/>
        <v>100</v>
      </c>
      <c r="BP92" s="31" t="e">
        <f t="shared" si="82"/>
        <v>#DIV/0!</v>
      </c>
      <c r="BQ92" s="54">
        <v>450</v>
      </c>
      <c r="BR92" s="31">
        <f t="shared" si="83"/>
        <v>100</v>
      </c>
    </row>
    <row r="93" spans="1:70" ht="27.75" hidden="1" customHeight="1" x14ac:dyDescent="0.3">
      <c r="A93" s="55"/>
      <c r="B93" s="46" t="s">
        <v>221</v>
      </c>
      <c r="C93" s="31"/>
      <c r="D93" s="31"/>
      <c r="E93" s="31">
        <v>61.58417</v>
      </c>
      <c r="F93" s="31">
        <v>650</v>
      </c>
      <c r="G93" s="31"/>
      <c r="H93" s="31"/>
      <c r="I93" s="31"/>
      <c r="J93" s="31"/>
      <c r="K93" s="31">
        <v>500</v>
      </c>
      <c r="L93" s="31">
        <v>500</v>
      </c>
      <c r="M93" s="31">
        <v>500</v>
      </c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>
        <v>13.5</v>
      </c>
      <c r="AC93" s="31">
        <v>13.5</v>
      </c>
      <c r="AD93" s="31"/>
      <c r="AE93" s="31"/>
      <c r="AF93" s="31"/>
      <c r="AG93" s="31"/>
      <c r="AH93" s="31"/>
      <c r="AI93" s="31">
        <v>334.5</v>
      </c>
      <c r="AJ93" s="31">
        <v>334.5</v>
      </c>
      <c r="AK93" s="31">
        <v>334.5</v>
      </c>
      <c r="AL93" s="31">
        <f>334.5+1120.3+6.5+828</f>
        <v>2289.3000000000002</v>
      </c>
      <c r="AM93" s="31">
        <f>2276.27162+6.5</f>
        <v>2282.77162</v>
      </c>
      <c r="AN93" s="31"/>
      <c r="AO93" s="31">
        <v>130.6</v>
      </c>
      <c r="AP93" s="31">
        <v>130.6</v>
      </c>
      <c r="AQ93" s="31">
        <v>130.6</v>
      </c>
      <c r="AR93" s="31">
        <f>130.6+55</f>
        <v>185.6</v>
      </c>
      <c r="AS93" s="31">
        <f>130.6+55</f>
        <v>185.6</v>
      </c>
      <c r="AT93" s="31">
        <f>130.6+54.974</f>
        <v>185.57399999999998</v>
      </c>
      <c r="AU93" s="31"/>
      <c r="AV93" s="31">
        <v>132.69999999999999</v>
      </c>
      <c r="AW93" s="31">
        <v>132.69999999999999</v>
      </c>
      <c r="AX93" s="31">
        <v>132.69999999999999</v>
      </c>
      <c r="AY93" s="31"/>
      <c r="AZ93" s="31"/>
      <c r="BA93" s="30"/>
      <c r="BB93" s="30">
        <v>132.69999999999999</v>
      </c>
      <c r="BC93" s="30">
        <v>132.69999999999999</v>
      </c>
      <c r="BD93" s="30">
        <f t="shared" si="74"/>
        <v>0</v>
      </c>
      <c r="BE93" s="30">
        <f t="shared" si="75"/>
        <v>100</v>
      </c>
      <c r="BF93" s="54">
        <v>132.69999999999999</v>
      </c>
      <c r="BG93" s="30"/>
      <c r="BH93" s="30">
        <f t="shared" si="76"/>
        <v>71.507862092750059</v>
      </c>
      <c r="BI93" s="30">
        <f t="shared" si="77"/>
        <v>100</v>
      </c>
      <c r="BJ93" s="30">
        <f t="shared" si="78"/>
        <v>100</v>
      </c>
      <c r="BK93" s="54">
        <v>132.19999999999999</v>
      </c>
      <c r="BL93" s="31">
        <f t="shared" si="79"/>
        <v>99.623210248681232</v>
      </c>
      <c r="BM93" s="31">
        <f t="shared" si="80"/>
        <v>99.623210248681232</v>
      </c>
      <c r="BN93" s="54">
        <v>132.19999999999999</v>
      </c>
      <c r="BO93" s="31">
        <f t="shared" si="81"/>
        <v>100</v>
      </c>
      <c r="BP93" s="31">
        <f t="shared" si="82"/>
        <v>99.623210248681232</v>
      </c>
      <c r="BQ93" s="54">
        <v>132.19999999999999</v>
      </c>
      <c r="BR93" s="31">
        <f t="shared" si="83"/>
        <v>100</v>
      </c>
    </row>
    <row r="94" spans="1:70" ht="27.75" hidden="1" customHeight="1" x14ac:dyDescent="0.3">
      <c r="A94" s="55"/>
      <c r="B94" s="47" t="s">
        <v>222</v>
      </c>
      <c r="C94" s="31"/>
      <c r="D94" s="31"/>
      <c r="E94" s="31">
        <v>550</v>
      </c>
      <c r="F94" s="31">
        <f>270+441.316+200</f>
        <v>911.31600000000003</v>
      </c>
      <c r="G94" s="31"/>
      <c r="H94" s="31">
        <f>3023.8+770</f>
        <v>3793.8</v>
      </c>
      <c r="I94" s="31"/>
      <c r="J94" s="31">
        <f>3023.8+770</f>
        <v>3793.8</v>
      </c>
      <c r="K94" s="31"/>
      <c r="L94" s="31"/>
      <c r="M94" s="31"/>
      <c r="N94" s="31"/>
      <c r="O94" s="31"/>
      <c r="P94" s="31">
        <v>361</v>
      </c>
      <c r="Q94" s="31">
        <v>361</v>
      </c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>
        <v>683.7</v>
      </c>
      <c r="AG94" s="31">
        <v>683.74300000000005</v>
      </c>
      <c r="AH94" s="31"/>
      <c r="AI94" s="31"/>
      <c r="AJ94" s="31"/>
      <c r="AK94" s="31"/>
      <c r="AL94" s="31">
        <v>397.6</v>
      </c>
      <c r="AM94" s="31">
        <v>397.55200000000002</v>
      </c>
      <c r="AN94" s="31"/>
      <c r="AO94" s="31"/>
      <c r="AP94" s="31"/>
      <c r="AQ94" s="31"/>
      <c r="AR94" s="31">
        <v>100</v>
      </c>
      <c r="AS94" s="31">
        <v>100</v>
      </c>
      <c r="AT94" s="31">
        <v>100</v>
      </c>
      <c r="AU94" s="31"/>
      <c r="AV94" s="31"/>
      <c r="AW94" s="31"/>
      <c r="AX94" s="31"/>
      <c r="AY94" s="31"/>
      <c r="AZ94" s="31"/>
      <c r="BA94" s="30"/>
      <c r="BB94" s="30">
        <f>120+29.4</f>
        <v>149.4</v>
      </c>
      <c r="BC94" s="30">
        <v>120</v>
      </c>
      <c r="BD94" s="30">
        <f t="shared" si="74"/>
        <v>120</v>
      </c>
      <c r="BE94" s="30" t="e">
        <f t="shared" si="75"/>
        <v>#DIV/0!</v>
      </c>
      <c r="BF94" s="54">
        <v>120</v>
      </c>
      <c r="BG94" s="30"/>
      <c r="BH94" s="30">
        <f t="shared" si="76"/>
        <v>120</v>
      </c>
      <c r="BI94" s="30" t="e">
        <f t="shared" si="77"/>
        <v>#DIV/0!</v>
      </c>
      <c r="BJ94" s="30">
        <f t="shared" si="78"/>
        <v>100</v>
      </c>
      <c r="BK94" s="54"/>
      <c r="BL94" s="31">
        <f t="shared" si="79"/>
        <v>0</v>
      </c>
      <c r="BM94" s="31" t="e">
        <f t="shared" si="80"/>
        <v>#DIV/0!</v>
      </c>
      <c r="BN94" s="54"/>
      <c r="BO94" s="31" t="e">
        <f t="shared" si="81"/>
        <v>#DIV/0!</v>
      </c>
      <c r="BP94" s="31" t="e">
        <f t="shared" si="82"/>
        <v>#DIV/0!</v>
      </c>
      <c r="BQ94" s="54"/>
      <c r="BR94" s="31" t="e">
        <f t="shared" si="83"/>
        <v>#DIV/0!</v>
      </c>
    </row>
    <row r="95" spans="1:70" ht="27.75" hidden="1" customHeight="1" x14ac:dyDescent="0.3">
      <c r="A95" s="55"/>
      <c r="B95" s="47" t="s">
        <v>223</v>
      </c>
      <c r="C95" s="31"/>
      <c r="D95" s="31"/>
      <c r="E95" s="31"/>
      <c r="F95" s="31"/>
      <c r="G95" s="31"/>
      <c r="H95" s="31"/>
      <c r="I95" s="31"/>
      <c r="J95" s="31"/>
      <c r="K95" s="31"/>
      <c r="L95" s="31">
        <v>233</v>
      </c>
      <c r="M95" s="31">
        <v>233</v>
      </c>
      <c r="N95" s="31"/>
      <c r="O95" s="31"/>
      <c r="P95" s="31">
        <f>100+180.9</f>
        <v>280.89999999999998</v>
      </c>
      <c r="Q95" s="31">
        <f>100+180.9</f>
        <v>280.89999999999998</v>
      </c>
      <c r="R95" s="31"/>
      <c r="S95" s="31"/>
      <c r="T95" s="31"/>
      <c r="U95" s="31"/>
      <c r="V95" s="31"/>
      <c r="W95" s="31">
        <v>43.3</v>
      </c>
      <c r="X95" s="31">
        <f>43.3+60</f>
        <v>103.3</v>
      </c>
      <c r="Y95" s="31">
        <f>43.3+60</f>
        <v>103.3</v>
      </c>
      <c r="Z95" s="31"/>
      <c r="AA95" s="31">
        <v>53.1</v>
      </c>
      <c r="AB95" s="31">
        <f>53.1+60</f>
        <v>113.1</v>
      </c>
      <c r="AC95" s="31">
        <f>53.1+60</f>
        <v>113.1</v>
      </c>
      <c r="AD95" s="31"/>
      <c r="AE95" s="31">
        <v>62.3</v>
      </c>
      <c r="AF95" s="31">
        <v>62.3</v>
      </c>
      <c r="AG95" s="31">
        <v>62.3</v>
      </c>
      <c r="AH95" s="31"/>
      <c r="AI95" s="31">
        <v>59.6</v>
      </c>
      <c r="AJ95" s="31">
        <v>60.5</v>
      </c>
      <c r="AK95" s="31">
        <v>60.4</v>
      </c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0"/>
      <c r="BB95" s="30"/>
      <c r="BC95" s="30"/>
      <c r="BD95" s="30">
        <f t="shared" si="74"/>
        <v>0</v>
      </c>
      <c r="BE95" s="30" t="e">
        <f t="shared" si="75"/>
        <v>#DIV/0!</v>
      </c>
      <c r="BF95" s="30"/>
      <c r="BG95" s="30"/>
      <c r="BH95" s="30" t="e">
        <f t="shared" si="76"/>
        <v>#DIV/0!</v>
      </c>
      <c r="BI95" s="30" t="e">
        <f t="shared" si="77"/>
        <v>#DIV/0!</v>
      </c>
      <c r="BJ95" s="30" t="e">
        <f t="shared" si="78"/>
        <v>#DIV/0!</v>
      </c>
      <c r="BK95" s="54"/>
      <c r="BL95" s="31" t="e">
        <f t="shared" si="79"/>
        <v>#DIV/0!</v>
      </c>
      <c r="BM95" s="31" t="e">
        <f t="shared" si="80"/>
        <v>#DIV/0!</v>
      </c>
      <c r="BN95" s="54"/>
      <c r="BO95" s="31" t="e">
        <f t="shared" si="81"/>
        <v>#DIV/0!</v>
      </c>
      <c r="BP95" s="31" t="e">
        <f t="shared" si="82"/>
        <v>#DIV/0!</v>
      </c>
      <c r="BQ95" s="54"/>
      <c r="BR95" s="31" t="e">
        <f t="shared" si="83"/>
        <v>#DIV/0!</v>
      </c>
    </row>
    <row r="96" spans="1:70" ht="27.75" hidden="1" customHeight="1" x14ac:dyDescent="0.3">
      <c r="A96" s="55"/>
      <c r="B96" s="47" t="s">
        <v>224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>
        <v>150</v>
      </c>
      <c r="T96" s="31">
        <f>150+100</f>
        <v>250</v>
      </c>
      <c r="U96" s="31">
        <f>150+100</f>
        <v>250</v>
      </c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0"/>
      <c r="BB96" s="30"/>
      <c r="BC96" s="30"/>
      <c r="BD96" s="30">
        <f t="shared" si="74"/>
        <v>0</v>
      </c>
      <c r="BE96" s="30" t="e">
        <f t="shared" si="75"/>
        <v>#DIV/0!</v>
      </c>
      <c r="BF96" s="30"/>
      <c r="BG96" s="30"/>
      <c r="BH96" s="30" t="e">
        <f t="shared" si="76"/>
        <v>#DIV/0!</v>
      </c>
      <c r="BI96" s="30" t="e">
        <f t="shared" si="77"/>
        <v>#DIV/0!</v>
      </c>
      <c r="BJ96" s="30" t="e">
        <f t="shared" si="78"/>
        <v>#DIV/0!</v>
      </c>
      <c r="BK96" s="54"/>
      <c r="BL96" s="31" t="e">
        <f t="shared" si="79"/>
        <v>#DIV/0!</v>
      </c>
      <c r="BM96" s="31" t="e">
        <f t="shared" si="80"/>
        <v>#DIV/0!</v>
      </c>
      <c r="BN96" s="54"/>
      <c r="BO96" s="31" t="e">
        <f t="shared" si="81"/>
        <v>#DIV/0!</v>
      </c>
      <c r="BP96" s="31" t="e">
        <f t="shared" si="82"/>
        <v>#DIV/0!</v>
      </c>
      <c r="BQ96" s="54"/>
      <c r="BR96" s="31" t="e">
        <f t="shared" si="83"/>
        <v>#DIV/0!</v>
      </c>
    </row>
    <row r="97" spans="1:70" ht="27.75" hidden="1" customHeight="1" x14ac:dyDescent="0.3">
      <c r="A97" s="55"/>
      <c r="B97" s="47" t="s">
        <v>225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>
        <v>75</v>
      </c>
      <c r="AM97" s="31">
        <v>75</v>
      </c>
      <c r="AN97" s="31"/>
      <c r="AO97" s="31"/>
      <c r="AP97" s="31"/>
      <c r="AQ97" s="31"/>
      <c r="AR97" s="31">
        <v>20</v>
      </c>
      <c r="AS97" s="31">
        <v>20</v>
      </c>
      <c r="AT97" s="31">
        <v>20</v>
      </c>
      <c r="AU97" s="31"/>
      <c r="AV97" s="31"/>
      <c r="AW97" s="31"/>
      <c r="AX97" s="31"/>
      <c r="AY97" s="31"/>
      <c r="AZ97" s="31"/>
      <c r="BA97" s="30"/>
      <c r="BB97" s="30"/>
      <c r="BC97" s="30">
        <v>17.7</v>
      </c>
      <c r="BD97" s="30">
        <f t="shared" si="74"/>
        <v>17.7</v>
      </c>
      <c r="BE97" s="30" t="e">
        <f t="shared" si="75"/>
        <v>#DIV/0!</v>
      </c>
      <c r="BF97" s="54">
        <v>17.72</v>
      </c>
      <c r="BG97" s="30"/>
      <c r="BH97" s="30">
        <f t="shared" si="76"/>
        <v>88.6</v>
      </c>
      <c r="BI97" s="30" t="e">
        <f t="shared" si="77"/>
        <v>#DIV/0!</v>
      </c>
      <c r="BJ97" s="30">
        <f t="shared" si="78"/>
        <v>100.11299435028249</v>
      </c>
      <c r="BK97" s="54"/>
      <c r="BL97" s="31">
        <f t="shared" si="79"/>
        <v>0</v>
      </c>
      <c r="BM97" s="31" t="e">
        <f t="shared" si="80"/>
        <v>#DIV/0!</v>
      </c>
      <c r="BN97" s="54"/>
      <c r="BO97" s="31" t="e">
        <f t="shared" si="81"/>
        <v>#DIV/0!</v>
      </c>
      <c r="BP97" s="31" t="e">
        <f t="shared" si="82"/>
        <v>#DIV/0!</v>
      </c>
      <c r="BQ97" s="54"/>
      <c r="BR97" s="31" t="e">
        <f t="shared" si="83"/>
        <v>#DIV/0!</v>
      </c>
    </row>
    <row r="98" spans="1:70" ht="27.75" hidden="1" customHeight="1" x14ac:dyDescent="0.3">
      <c r="A98" s="55"/>
      <c r="B98" s="47" t="s">
        <v>226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>
        <v>865</v>
      </c>
      <c r="U98" s="31">
        <v>599.70000000000005</v>
      </c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>
        <f>335+3090</f>
        <v>3425</v>
      </c>
      <c r="AG98" s="31">
        <f>335+3090</f>
        <v>3425</v>
      </c>
      <c r="AH98" s="31"/>
      <c r="AI98" s="31"/>
      <c r="AJ98" s="31"/>
      <c r="AK98" s="31"/>
      <c r="AL98" s="31">
        <v>11847.6</v>
      </c>
      <c r="AM98" s="31">
        <v>11847.588</v>
      </c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0"/>
      <c r="BB98" s="30">
        <v>660</v>
      </c>
      <c r="BC98" s="30">
        <v>660</v>
      </c>
      <c r="BD98" s="30">
        <f t="shared" si="74"/>
        <v>660</v>
      </c>
      <c r="BE98" s="30" t="e">
        <f t="shared" si="75"/>
        <v>#DIV/0!</v>
      </c>
      <c r="BF98" s="54">
        <v>660</v>
      </c>
      <c r="BG98" s="30"/>
      <c r="BH98" s="30" t="e">
        <f t="shared" si="76"/>
        <v>#DIV/0!</v>
      </c>
      <c r="BI98" s="30" t="e">
        <f t="shared" si="77"/>
        <v>#DIV/0!</v>
      </c>
      <c r="BJ98" s="30">
        <f t="shared" si="78"/>
        <v>100</v>
      </c>
      <c r="BK98" s="54"/>
      <c r="BL98" s="31">
        <f t="shared" si="79"/>
        <v>0</v>
      </c>
      <c r="BM98" s="31" t="e">
        <f t="shared" si="80"/>
        <v>#DIV/0!</v>
      </c>
      <c r="BN98" s="54"/>
      <c r="BO98" s="31" t="e">
        <f t="shared" si="81"/>
        <v>#DIV/0!</v>
      </c>
      <c r="BP98" s="31" t="e">
        <f t="shared" si="82"/>
        <v>#DIV/0!</v>
      </c>
      <c r="BQ98" s="54"/>
      <c r="BR98" s="31" t="e">
        <f t="shared" si="83"/>
        <v>#DIV/0!</v>
      </c>
    </row>
    <row r="99" spans="1:70" ht="27.75" hidden="1" customHeight="1" x14ac:dyDescent="0.3">
      <c r="A99" s="55"/>
      <c r="B99" s="47" t="s">
        <v>227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>
        <v>200</v>
      </c>
      <c r="AS99" s="31">
        <v>200</v>
      </c>
      <c r="AT99" s="31">
        <v>200</v>
      </c>
      <c r="AU99" s="31"/>
      <c r="AV99" s="31"/>
      <c r="AW99" s="31"/>
      <c r="AX99" s="31"/>
      <c r="AY99" s="31"/>
      <c r="AZ99" s="31"/>
      <c r="BA99" s="30"/>
      <c r="BB99" s="30">
        <v>200</v>
      </c>
      <c r="BC99" s="30">
        <v>400</v>
      </c>
      <c r="BD99" s="30">
        <f t="shared" si="74"/>
        <v>400</v>
      </c>
      <c r="BE99" s="30" t="e">
        <f t="shared" si="75"/>
        <v>#DIV/0!</v>
      </c>
      <c r="BF99" s="54">
        <v>400</v>
      </c>
      <c r="BG99" s="30"/>
      <c r="BH99" s="30">
        <f t="shared" si="76"/>
        <v>200</v>
      </c>
      <c r="BI99" s="30" t="e">
        <f t="shared" si="77"/>
        <v>#DIV/0!</v>
      </c>
      <c r="BJ99" s="30">
        <f t="shared" si="78"/>
        <v>100</v>
      </c>
      <c r="BK99" s="54"/>
      <c r="BL99" s="31">
        <f t="shared" si="79"/>
        <v>0</v>
      </c>
      <c r="BM99" s="31" t="e">
        <f t="shared" si="80"/>
        <v>#DIV/0!</v>
      </c>
      <c r="BN99" s="54"/>
      <c r="BO99" s="31" t="e">
        <f t="shared" si="81"/>
        <v>#DIV/0!</v>
      </c>
      <c r="BP99" s="31" t="e">
        <f t="shared" si="82"/>
        <v>#DIV/0!</v>
      </c>
      <c r="BQ99" s="54"/>
      <c r="BR99" s="31" t="e">
        <f t="shared" si="83"/>
        <v>#DIV/0!</v>
      </c>
    </row>
    <row r="100" spans="1:70" ht="27.75" hidden="1" customHeight="1" x14ac:dyDescent="0.3">
      <c r="A100" s="55"/>
      <c r="B100" s="47" t="s">
        <v>228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>
        <v>1300</v>
      </c>
      <c r="AB100" s="31">
        <v>1300</v>
      </c>
      <c r="AC100" s="31">
        <v>1300</v>
      </c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0"/>
      <c r="BB100" s="30"/>
      <c r="BC100" s="30"/>
      <c r="BD100" s="30">
        <f t="shared" si="74"/>
        <v>0</v>
      </c>
      <c r="BE100" s="30" t="e">
        <f t="shared" si="75"/>
        <v>#DIV/0!</v>
      </c>
      <c r="BF100" s="30"/>
      <c r="BG100" s="30"/>
      <c r="BH100" s="30" t="e">
        <f t="shared" si="76"/>
        <v>#DIV/0!</v>
      </c>
      <c r="BI100" s="30" t="e">
        <f t="shared" si="77"/>
        <v>#DIV/0!</v>
      </c>
      <c r="BJ100" s="30" t="e">
        <f t="shared" si="78"/>
        <v>#DIV/0!</v>
      </c>
      <c r="BK100" s="54"/>
      <c r="BL100" s="31" t="e">
        <f t="shared" si="79"/>
        <v>#DIV/0!</v>
      </c>
      <c r="BM100" s="31" t="e">
        <f t="shared" si="80"/>
        <v>#DIV/0!</v>
      </c>
      <c r="BN100" s="54"/>
      <c r="BO100" s="31" t="e">
        <f t="shared" si="81"/>
        <v>#DIV/0!</v>
      </c>
      <c r="BP100" s="31" t="e">
        <f t="shared" si="82"/>
        <v>#DIV/0!</v>
      </c>
      <c r="BQ100" s="54"/>
      <c r="BR100" s="31" t="e">
        <f t="shared" si="83"/>
        <v>#DIV/0!</v>
      </c>
    </row>
    <row r="101" spans="1:70" ht="27.75" hidden="1" customHeight="1" x14ac:dyDescent="0.3">
      <c r="A101" s="55"/>
      <c r="B101" s="47" t="s">
        <v>229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>
        <v>1384</v>
      </c>
      <c r="Q101" s="31">
        <v>1384</v>
      </c>
      <c r="R101" s="31"/>
      <c r="S101" s="31">
        <v>2978</v>
      </c>
      <c r="T101" s="31">
        <v>2978</v>
      </c>
      <c r="U101" s="31">
        <v>2978</v>
      </c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>
        <v>1500</v>
      </c>
      <c r="AM101" s="31">
        <v>1500</v>
      </c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0"/>
      <c r="BB101" s="30"/>
      <c r="BC101" s="30"/>
      <c r="BD101" s="30">
        <f t="shared" si="74"/>
        <v>0</v>
      </c>
      <c r="BE101" s="30" t="e">
        <f t="shared" si="75"/>
        <v>#DIV/0!</v>
      </c>
      <c r="BF101" s="30"/>
      <c r="BG101" s="30"/>
      <c r="BH101" s="30" t="e">
        <f t="shared" si="76"/>
        <v>#DIV/0!</v>
      </c>
      <c r="BI101" s="30" t="e">
        <f t="shared" si="77"/>
        <v>#DIV/0!</v>
      </c>
      <c r="BJ101" s="30" t="e">
        <f t="shared" si="78"/>
        <v>#DIV/0!</v>
      </c>
      <c r="BK101" s="54"/>
      <c r="BL101" s="31" t="e">
        <f t="shared" si="79"/>
        <v>#DIV/0!</v>
      </c>
      <c r="BM101" s="31" t="e">
        <f t="shared" si="80"/>
        <v>#DIV/0!</v>
      </c>
      <c r="BN101" s="54"/>
      <c r="BO101" s="31" t="e">
        <f t="shared" si="81"/>
        <v>#DIV/0!</v>
      </c>
      <c r="BP101" s="31" t="e">
        <f t="shared" si="82"/>
        <v>#DIV/0!</v>
      </c>
      <c r="BQ101" s="54"/>
      <c r="BR101" s="31" t="e">
        <f t="shared" si="83"/>
        <v>#DIV/0!</v>
      </c>
    </row>
    <row r="102" spans="1:70" ht="27.75" hidden="1" customHeight="1" x14ac:dyDescent="0.3">
      <c r="A102" s="55"/>
      <c r="B102" s="47" t="s">
        <v>230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>
        <v>43.1</v>
      </c>
      <c r="AG102" s="31">
        <v>43.066000000000003</v>
      </c>
      <c r="AH102" s="31"/>
      <c r="AI102" s="31"/>
      <c r="AJ102" s="31"/>
      <c r="AK102" s="31"/>
      <c r="AL102" s="31">
        <v>60.1</v>
      </c>
      <c r="AM102" s="31">
        <v>60.072000000000003</v>
      </c>
      <c r="AN102" s="31"/>
      <c r="AO102" s="31"/>
      <c r="AP102" s="31"/>
      <c r="AQ102" s="31"/>
      <c r="AR102" s="31">
        <v>396</v>
      </c>
      <c r="AS102" s="31"/>
      <c r="AT102" s="31">
        <v>396</v>
      </c>
      <c r="AU102" s="31"/>
      <c r="AV102" s="31"/>
      <c r="AW102" s="31"/>
      <c r="AX102" s="31"/>
      <c r="AY102" s="31"/>
      <c r="AZ102" s="31"/>
      <c r="BA102" s="30"/>
      <c r="BB102" s="30"/>
      <c r="BC102" s="30"/>
      <c r="BD102" s="30">
        <f t="shared" si="74"/>
        <v>0</v>
      </c>
      <c r="BE102" s="30" t="e">
        <f t="shared" si="75"/>
        <v>#DIV/0!</v>
      </c>
      <c r="BF102" s="30"/>
      <c r="BG102" s="30"/>
      <c r="BH102" s="30">
        <f t="shared" si="76"/>
        <v>0</v>
      </c>
      <c r="BI102" s="30" t="e">
        <f t="shared" si="77"/>
        <v>#DIV/0!</v>
      </c>
      <c r="BJ102" s="30" t="e">
        <f t="shared" si="78"/>
        <v>#DIV/0!</v>
      </c>
      <c r="BK102" s="54"/>
      <c r="BL102" s="31" t="e">
        <f t="shared" si="79"/>
        <v>#DIV/0!</v>
      </c>
      <c r="BM102" s="31" t="e">
        <f t="shared" si="80"/>
        <v>#DIV/0!</v>
      </c>
      <c r="BN102" s="54"/>
      <c r="BO102" s="31" t="e">
        <f t="shared" si="81"/>
        <v>#DIV/0!</v>
      </c>
      <c r="BP102" s="31" t="e">
        <f t="shared" si="82"/>
        <v>#DIV/0!</v>
      </c>
      <c r="BQ102" s="54"/>
      <c r="BR102" s="31" t="e">
        <f t="shared" si="83"/>
        <v>#DIV/0!</v>
      </c>
    </row>
    <row r="103" spans="1:70" ht="27.75" hidden="1" customHeight="1" x14ac:dyDescent="0.3">
      <c r="A103" s="55"/>
      <c r="B103" s="47" t="s">
        <v>231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>
        <v>563.6</v>
      </c>
      <c r="AM103" s="31">
        <v>563.58910000000003</v>
      </c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0"/>
      <c r="BB103" s="30"/>
      <c r="BC103" s="30">
        <v>29.4</v>
      </c>
      <c r="BD103" s="30">
        <f t="shared" si="74"/>
        <v>29.4</v>
      </c>
      <c r="BE103" s="30" t="e">
        <f t="shared" si="75"/>
        <v>#DIV/0!</v>
      </c>
      <c r="BF103" s="54">
        <v>29.417999999999999</v>
      </c>
      <c r="BG103" s="30"/>
      <c r="BH103" s="30" t="e">
        <f t="shared" si="76"/>
        <v>#DIV/0!</v>
      </c>
      <c r="BI103" s="30" t="e">
        <f t="shared" si="77"/>
        <v>#DIV/0!</v>
      </c>
      <c r="BJ103" s="30">
        <f t="shared" si="78"/>
        <v>100.06122448979593</v>
      </c>
      <c r="BK103" s="54"/>
      <c r="BL103" s="31">
        <f t="shared" si="79"/>
        <v>0</v>
      </c>
      <c r="BM103" s="31" t="e">
        <f t="shared" si="80"/>
        <v>#DIV/0!</v>
      </c>
      <c r="BN103" s="54"/>
      <c r="BO103" s="31" t="e">
        <f t="shared" si="81"/>
        <v>#DIV/0!</v>
      </c>
      <c r="BP103" s="31" t="e">
        <f t="shared" si="82"/>
        <v>#DIV/0!</v>
      </c>
      <c r="BQ103" s="54"/>
      <c r="BR103" s="31" t="e">
        <f t="shared" si="83"/>
        <v>#DIV/0!</v>
      </c>
    </row>
    <row r="104" spans="1:70" ht="27.75" hidden="1" customHeight="1" x14ac:dyDescent="0.3">
      <c r="A104" s="55"/>
      <c r="B104" s="47" t="s">
        <v>232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>
        <v>383</v>
      </c>
      <c r="T104" s="31">
        <v>383</v>
      </c>
      <c r="U104" s="31">
        <v>383</v>
      </c>
      <c r="V104" s="31"/>
      <c r="W104" s="31">
        <v>393</v>
      </c>
      <c r="X104" s="31">
        <v>393</v>
      </c>
      <c r="Y104" s="31">
        <v>393</v>
      </c>
      <c r="Z104" s="31"/>
      <c r="AA104" s="31">
        <v>383</v>
      </c>
      <c r="AB104" s="31">
        <v>383</v>
      </c>
      <c r="AC104" s="31">
        <v>383</v>
      </c>
      <c r="AD104" s="31"/>
      <c r="AE104" s="31">
        <v>383</v>
      </c>
      <c r="AF104" s="31">
        <v>383</v>
      </c>
      <c r="AG104" s="31">
        <v>155.02500000000001</v>
      </c>
      <c r="AH104" s="31"/>
      <c r="AI104" s="31">
        <v>473.6</v>
      </c>
      <c r="AJ104" s="31">
        <v>473.6</v>
      </c>
      <c r="AK104" s="31">
        <v>473.6</v>
      </c>
      <c r="AL104" s="31">
        <f>90.6+383</f>
        <v>473.6</v>
      </c>
      <c r="AM104" s="31">
        <f>90.6+383</f>
        <v>473.6</v>
      </c>
      <c r="AN104" s="31"/>
      <c r="AO104" s="31">
        <v>402.6</v>
      </c>
      <c r="AP104" s="31">
        <v>402.6</v>
      </c>
      <c r="AQ104" s="31">
        <v>402.6</v>
      </c>
      <c r="AR104" s="31">
        <f>106+383</f>
        <v>489</v>
      </c>
      <c r="AS104" s="31">
        <f>151+338</f>
        <v>489</v>
      </c>
      <c r="AT104" s="31">
        <f>151+338</f>
        <v>489</v>
      </c>
      <c r="AU104" s="31"/>
      <c r="AV104" s="31">
        <v>383</v>
      </c>
      <c r="AW104" s="31">
        <v>383</v>
      </c>
      <c r="AX104" s="31">
        <v>383</v>
      </c>
      <c r="AY104" s="31"/>
      <c r="AZ104" s="31"/>
      <c r="BA104" s="30"/>
      <c r="BB104" s="30">
        <v>383</v>
      </c>
      <c r="BC104" s="30">
        <v>383</v>
      </c>
      <c r="BD104" s="30">
        <f t="shared" si="74"/>
        <v>0</v>
      </c>
      <c r="BE104" s="30">
        <f t="shared" si="75"/>
        <v>100</v>
      </c>
      <c r="BF104" s="54">
        <v>383</v>
      </c>
      <c r="BG104" s="30"/>
      <c r="BH104" s="30">
        <f t="shared" si="76"/>
        <v>78.323108384458067</v>
      </c>
      <c r="BI104" s="30">
        <f t="shared" si="77"/>
        <v>100</v>
      </c>
      <c r="BJ104" s="30">
        <f t="shared" si="78"/>
        <v>100</v>
      </c>
      <c r="BK104" s="54">
        <v>383</v>
      </c>
      <c r="BL104" s="31">
        <f t="shared" si="79"/>
        <v>100</v>
      </c>
      <c r="BM104" s="31">
        <f t="shared" si="80"/>
        <v>100</v>
      </c>
      <c r="BN104" s="54">
        <v>383</v>
      </c>
      <c r="BO104" s="31">
        <f t="shared" si="81"/>
        <v>100</v>
      </c>
      <c r="BP104" s="31">
        <f t="shared" si="82"/>
        <v>100</v>
      </c>
      <c r="BQ104" s="54">
        <v>383</v>
      </c>
      <c r="BR104" s="31">
        <f t="shared" si="83"/>
        <v>100</v>
      </c>
    </row>
    <row r="105" spans="1:70" ht="27.75" hidden="1" customHeight="1" x14ac:dyDescent="0.3">
      <c r="A105" s="55"/>
      <c r="B105" s="47" t="s">
        <v>233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>
        <v>241.7</v>
      </c>
      <c r="Y105" s="31">
        <v>241.68299999999999</v>
      </c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0"/>
      <c r="BB105" s="30"/>
      <c r="BC105" s="30"/>
      <c r="BD105" s="30">
        <f t="shared" si="74"/>
        <v>0</v>
      </c>
      <c r="BE105" s="30" t="e">
        <f t="shared" si="75"/>
        <v>#DIV/0!</v>
      </c>
      <c r="BF105" s="30"/>
      <c r="BG105" s="30"/>
      <c r="BH105" s="30" t="e">
        <f t="shared" si="76"/>
        <v>#DIV/0!</v>
      </c>
      <c r="BI105" s="30" t="e">
        <f t="shared" si="77"/>
        <v>#DIV/0!</v>
      </c>
      <c r="BJ105" s="30" t="e">
        <f t="shared" si="78"/>
        <v>#DIV/0!</v>
      </c>
      <c r="BK105" s="54"/>
      <c r="BL105" s="31" t="e">
        <f t="shared" si="79"/>
        <v>#DIV/0!</v>
      </c>
      <c r="BM105" s="31" t="e">
        <f t="shared" si="80"/>
        <v>#DIV/0!</v>
      </c>
      <c r="BN105" s="54"/>
      <c r="BO105" s="31" t="e">
        <f t="shared" si="81"/>
        <v>#DIV/0!</v>
      </c>
      <c r="BP105" s="31" t="e">
        <f t="shared" si="82"/>
        <v>#DIV/0!</v>
      </c>
      <c r="BQ105" s="54"/>
      <c r="BR105" s="31" t="e">
        <f t="shared" si="83"/>
        <v>#DIV/0!</v>
      </c>
    </row>
    <row r="106" spans="1:70" ht="27.75" hidden="1" customHeight="1" x14ac:dyDescent="0.3">
      <c r="A106" s="55"/>
      <c r="B106" s="57" t="s">
        <v>234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>
        <v>43655.5</v>
      </c>
      <c r="AS106" s="31">
        <f>396+45762.5</f>
        <v>46158.5</v>
      </c>
      <c r="AT106" s="31">
        <f>45762.5</f>
        <v>45762.5</v>
      </c>
      <c r="AU106" s="31"/>
      <c r="AV106" s="31">
        <v>42170</v>
      </c>
      <c r="AW106" s="31">
        <v>26861.9</v>
      </c>
      <c r="AX106" s="31">
        <v>31287.9</v>
      </c>
      <c r="AY106" s="31"/>
      <c r="AZ106" s="31"/>
      <c r="BA106" s="30"/>
      <c r="BB106" s="30">
        <v>45919.8</v>
      </c>
      <c r="BC106" s="30">
        <v>49730.2</v>
      </c>
      <c r="BD106" s="30">
        <f t="shared" si="74"/>
        <v>7560.1999999999971</v>
      </c>
      <c r="BE106" s="30">
        <f t="shared" si="75"/>
        <v>117.92791083708798</v>
      </c>
      <c r="BF106" s="30">
        <v>49730.2</v>
      </c>
      <c r="BG106" s="30"/>
      <c r="BH106" s="30">
        <f t="shared" si="76"/>
        <v>108.67019939907128</v>
      </c>
      <c r="BI106" s="30">
        <f t="shared" si="77"/>
        <v>117.92791083708798</v>
      </c>
      <c r="BJ106" s="30">
        <f t="shared" si="78"/>
        <v>100</v>
      </c>
      <c r="BK106" s="54">
        <v>51958.7</v>
      </c>
      <c r="BL106" s="31">
        <f t="shared" si="79"/>
        <v>104.48118044970663</v>
      </c>
      <c r="BM106" s="31">
        <f t="shared" si="80"/>
        <v>193.42898305778814</v>
      </c>
      <c r="BN106" s="54">
        <v>37161.800000000003</v>
      </c>
      <c r="BO106" s="31">
        <f t="shared" si="81"/>
        <v>71.521804818057433</v>
      </c>
      <c r="BP106" s="31">
        <f t="shared" si="82"/>
        <v>118.77371124300448</v>
      </c>
      <c r="BQ106" s="54">
        <v>36597.199999999997</v>
      </c>
      <c r="BR106" s="31">
        <f t="shared" si="83"/>
        <v>98.48069792098336</v>
      </c>
    </row>
    <row r="107" spans="1:70" ht="27.75" hidden="1" customHeight="1" x14ac:dyDescent="0.3">
      <c r="A107" s="19" t="s">
        <v>235</v>
      </c>
      <c r="B107" s="47" t="s">
        <v>236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>
        <v>64445.408210000001</v>
      </c>
      <c r="O107" s="31"/>
      <c r="P107" s="31"/>
      <c r="Q107" s="31"/>
      <c r="R107" s="31">
        <v>10718.92533</v>
      </c>
      <c r="S107" s="31"/>
      <c r="T107" s="31"/>
      <c r="U107" s="31"/>
      <c r="V107" s="31">
        <v>78201.085149999999</v>
      </c>
      <c r="W107" s="31"/>
      <c r="X107" s="31"/>
      <c r="Y107" s="31"/>
      <c r="Z107" s="31">
        <v>20739.901109999999</v>
      </c>
      <c r="AA107" s="31"/>
      <c r="AB107" s="31"/>
      <c r="AC107" s="31"/>
      <c r="AD107" s="31">
        <v>8489.5724499999997</v>
      </c>
      <c r="AE107" s="31"/>
      <c r="AF107" s="31"/>
      <c r="AG107" s="31"/>
      <c r="AH107" s="31">
        <v>72.275499999999994</v>
      </c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0"/>
      <c r="BB107" s="30"/>
      <c r="BC107" s="30"/>
      <c r="BD107" s="30">
        <f t="shared" si="74"/>
        <v>0</v>
      </c>
      <c r="BE107" s="30" t="e">
        <f t="shared" si="75"/>
        <v>#DIV/0!</v>
      </c>
      <c r="BF107" s="30"/>
      <c r="BG107" s="30"/>
      <c r="BH107" s="30" t="e">
        <f t="shared" si="76"/>
        <v>#DIV/0!</v>
      </c>
      <c r="BI107" s="30" t="e">
        <f t="shared" si="77"/>
        <v>#DIV/0!</v>
      </c>
      <c r="BJ107" s="30" t="e">
        <f t="shared" si="78"/>
        <v>#DIV/0!</v>
      </c>
      <c r="BK107" s="31"/>
      <c r="BL107" s="31" t="e">
        <f t="shared" si="79"/>
        <v>#DIV/0!</v>
      </c>
      <c r="BM107" s="31" t="e">
        <f t="shared" si="80"/>
        <v>#DIV/0!</v>
      </c>
      <c r="BN107" s="31"/>
      <c r="BO107" s="31" t="e">
        <f t="shared" si="81"/>
        <v>#DIV/0!</v>
      </c>
      <c r="BP107" s="31" t="e">
        <f t="shared" si="82"/>
        <v>#DIV/0!</v>
      </c>
      <c r="BQ107" s="31"/>
      <c r="BR107" s="31" t="e">
        <f t="shared" si="83"/>
        <v>#DIV/0!</v>
      </c>
    </row>
    <row r="108" spans="1:70" ht="27.75" hidden="1" customHeight="1" x14ac:dyDescent="0.3">
      <c r="A108" s="19" t="s">
        <v>237</v>
      </c>
      <c r="B108" s="47" t="s">
        <v>238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0"/>
      <c r="BB108" s="30"/>
      <c r="BC108" s="30"/>
      <c r="BD108" s="30">
        <f t="shared" si="74"/>
        <v>0</v>
      </c>
      <c r="BE108" s="30" t="e">
        <f t="shared" si="75"/>
        <v>#DIV/0!</v>
      </c>
      <c r="BF108" s="30"/>
      <c r="BG108" s="30"/>
      <c r="BH108" s="30" t="e">
        <f t="shared" si="76"/>
        <v>#DIV/0!</v>
      </c>
      <c r="BI108" s="30" t="e">
        <f t="shared" si="77"/>
        <v>#DIV/0!</v>
      </c>
      <c r="BJ108" s="30" t="e">
        <f t="shared" si="78"/>
        <v>#DIV/0!</v>
      </c>
      <c r="BK108" s="31"/>
      <c r="BL108" s="31" t="e">
        <f t="shared" si="79"/>
        <v>#DIV/0!</v>
      </c>
      <c r="BM108" s="31" t="e">
        <f t="shared" si="80"/>
        <v>#DIV/0!</v>
      </c>
      <c r="BN108" s="31"/>
      <c r="BO108" s="31" t="e">
        <f t="shared" si="81"/>
        <v>#DIV/0!</v>
      </c>
      <c r="BP108" s="31" t="e">
        <f t="shared" si="82"/>
        <v>#DIV/0!</v>
      </c>
      <c r="BQ108" s="31"/>
      <c r="BR108" s="31" t="e">
        <f t="shared" si="83"/>
        <v>#DIV/0!</v>
      </c>
    </row>
    <row r="109" spans="1:70" ht="27.75" hidden="1" customHeight="1" x14ac:dyDescent="0.3">
      <c r="A109" s="19" t="s">
        <v>239</v>
      </c>
      <c r="B109" s="47" t="s">
        <v>240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>
        <v>3.375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0"/>
      <c r="BB109" s="30"/>
      <c r="BC109" s="30"/>
      <c r="BD109" s="30">
        <f t="shared" si="74"/>
        <v>0</v>
      </c>
      <c r="BE109" s="30" t="e">
        <f t="shared" si="75"/>
        <v>#DIV/0!</v>
      </c>
      <c r="BF109" s="30"/>
      <c r="BG109" s="30"/>
      <c r="BH109" s="30" t="e">
        <f t="shared" si="76"/>
        <v>#DIV/0!</v>
      </c>
      <c r="BI109" s="30" t="e">
        <f t="shared" si="77"/>
        <v>#DIV/0!</v>
      </c>
      <c r="BJ109" s="30" t="e">
        <f t="shared" si="78"/>
        <v>#DIV/0!</v>
      </c>
      <c r="BK109" s="31"/>
      <c r="BL109" s="31" t="e">
        <f t="shared" si="79"/>
        <v>#DIV/0!</v>
      </c>
      <c r="BM109" s="31" t="e">
        <f t="shared" si="80"/>
        <v>#DIV/0!</v>
      </c>
      <c r="BN109" s="31"/>
      <c r="BO109" s="31" t="e">
        <f t="shared" si="81"/>
        <v>#DIV/0!</v>
      </c>
      <c r="BP109" s="31" t="e">
        <f t="shared" si="82"/>
        <v>#DIV/0!</v>
      </c>
      <c r="BQ109" s="31"/>
      <c r="BR109" s="31" t="e">
        <f t="shared" si="83"/>
        <v>#DIV/0!</v>
      </c>
    </row>
    <row r="110" spans="1:70" ht="27.75" hidden="1" customHeight="1" x14ac:dyDescent="0.3">
      <c r="A110" s="19"/>
      <c r="B110" s="47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0"/>
      <c r="BB110" s="30"/>
      <c r="BC110" s="30"/>
      <c r="BD110" s="30">
        <f t="shared" si="74"/>
        <v>0</v>
      </c>
      <c r="BE110" s="30" t="e">
        <f t="shared" si="75"/>
        <v>#DIV/0!</v>
      </c>
      <c r="BF110" s="30"/>
      <c r="BG110" s="30"/>
      <c r="BH110" s="30" t="e">
        <f t="shared" si="76"/>
        <v>#DIV/0!</v>
      </c>
      <c r="BI110" s="30" t="e">
        <f t="shared" si="77"/>
        <v>#DIV/0!</v>
      </c>
      <c r="BJ110" s="30" t="e">
        <f t="shared" si="78"/>
        <v>#DIV/0!</v>
      </c>
      <c r="BK110" s="31"/>
      <c r="BL110" s="31" t="e">
        <f t="shared" si="79"/>
        <v>#DIV/0!</v>
      </c>
      <c r="BM110" s="31" t="e">
        <f t="shared" si="80"/>
        <v>#DIV/0!</v>
      </c>
      <c r="BN110" s="31"/>
      <c r="BO110" s="31" t="e">
        <f t="shared" si="81"/>
        <v>#DIV/0!</v>
      </c>
      <c r="BP110" s="31" t="e">
        <f t="shared" si="82"/>
        <v>#DIV/0!</v>
      </c>
      <c r="BQ110" s="31"/>
      <c r="BR110" s="31" t="e">
        <f t="shared" si="83"/>
        <v>#DIV/0!</v>
      </c>
    </row>
    <row r="111" spans="1:70" ht="27.75" customHeight="1" x14ac:dyDescent="0.3">
      <c r="A111" s="26" t="s">
        <v>241</v>
      </c>
      <c r="B111" s="27" t="s">
        <v>242</v>
      </c>
      <c r="C111" s="28">
        <f t="shared" ref="C111:AF111" si="89">C112</f>
        <v>4120</v>
      </c>
      <c r="D111" s="28">
        <f t="shared" si="89"/>
        <v>0</v>
      </c>
      <c r="E111" s="28">
        <f t="shared" si="89"/>
        <v>6648.8</v>
      </c>
      <c r="F111" s="28">
        <f t="shared" si="89"/>
        <v>6676.4028399999997</v>
      </c>
      <c r="G111" s="28">
        <f t="shared" si="89"/>
        <v>0</v>
      </c>
      <c r="H111" s="28">
        <f t="shared" si="89"/>
        <v>8207.2000000000007</v>
      </c>
      <c r="I111" s="28">
        <f t="shared" si="89"/>
        <v>0</v>
      </c>
      <c r="J111" s="28">
        <f t="shared" si="89"/>
        <v>8205.6428300000007</v>
      </c>
      <c r="K111" s="28">
        <f t="shared" si="89"/>
        <v>0</v>
      </c>
      <c r="L111" s="28">
        <f t="shared" si="89"/>
        <v>105</v>
      </c>
      <c r="M111" s="28">
        <f>M112</f>
        <v>105</v>
      </c>
      <c r="N111" s="28">
        <f>N112</f>
        <v>73352.537179999999</v>
      </c>
      <c r="O111" s="28">
        <f t="shared" si="89"/>
        <v>0</v>
      </c>
      <c r="P111" s="28">
        <f t="shared" si="89"/>
        <v>1325.905</v>
      </c>
      <c r="Q111" s="28">
        <f>Q112</f>
        <v>1325.905</v>
      </c>
      <c r="R111" s="28">
        <f>R112</f>
        <v>94513.3416</v>
      </c>
      <c r="S111" s="28">
        <f t="shared" si="89"/>
        <v>0</v>
      </c>
      <c r="T111" s="28">
        <f t="shared" si="89"/>
        <v>3405</v>
      </c>
      <c r="U111" s="28">
        <f>U112</f>
        <v>3405</v>
      </c>
      <c r="V111" s="28">
        <f>V112</f>
        <v>4205.0039999999999</v>
      </c>
      <c r="W111" s="28">
        <f t="shared" si="89"/>
        <v>0</v>
      </c>
      <c r="X111" s="28">
        <f t="shared" si="89"/>
        <v>83.9</v>
      </c>
      <c r="Y111" s="28">
        <f>Y112</f>
        <v>83.88</v>
      </c>
      <c r="Z111" s="28">
        <f>Z112</f>
        <v>2115.6184499999999</v>
      </c>
      <c r="AA111" s="28">
        <f t="shared" si="89"/>
        <v>0</v>
      </c>
      <c r="AB111" s="28">
        <f t="shared" si="89"/>
        <v>105</v>
      </c>
      <c r="AC111" s="28">
        <f>AC112</f>
        <v>113.4066</v>
      </c>
      <c r="AD111" s="28">
        <f>AD112</f>
        <v>9787.9467600000007</v>
      </c>
      <c r="AE111" s="28">
        <f t="shared" si="89"/>
        <v>0</v>
      </c>
      <c r="AF111" s="28">
        <f t="shared" si="89"/>
        <v>155</v>
      </c>
      <c r="AG111" s="28">
        <f>AG112</f>
        <v>149.5934</v>
      </c>
      <c r="AH111" s="28">
        <f>AH112+AH114+AH115+AH116</f>
        <v>1167.0090599999999</v>
      </c>
      <c r="AI111" s="28">
        <f>AI112</f>
        <v>0</v>
      </c>
      <c r="AJ111" s="28">
        <f>AJ112</f>
        <v>0</v>
      </c>
      <c r="AK111" s="28">
        <f>AK112</f>
        <v>0</v>
      </c>
      <c r="AL111" s="28">
        <f>AL112</f>
        <v>126.3</v>
      </c>
      <c r="AM111" s="28">
        <f>AM112+AM113</f>
        <v>126.30661000000001</v>
      </c>
      <c r="AN111" s="28">
        <f>AN112+AN114+AN115+AN116</f>
        <v>1626.0976500000002</v>
      </c>
      <c r="AO111" s="28">
        <f t="shared" ref="AO111:AQ111" si="90">AO112</f>
        <v>0</v>
      </c>
      <c r="AP111" s="28">
        <f t="shared" si="90"/>
        <v>0</v>
      </c>
      <c r="AQ111" s="28">
        <f t="shared" si="90"/>
        <v>0</v>
      </c>
      <c r="AR111" s="28">
        <f>AR112</f>
        <v>0</v>
      </c>
      <c r="AS111" s="28">
        <f>AS112+AS113</f>
        <v>0</v>
      </c>
      <c r="AT111" s="28"/>
      <c r="AU111" s="28"/>
      <c r="AV111" s="28"/>
      <c r="AW111" s="28">
        <f>AW112</f>
        <v>0</v>
      </c>
      <c r="AX111" s="28">
        <f>AX112</f>
        <v>0</v>
      </c>
      <c r="AY111" s="28"/>
      <c r="AZ111" s="28"/>
      <c r="BA111" s="29"/>
      <c r="BB111" s="29"/>
      <c r="BC111" s="29"/>
      <c r="BD111" s="30"/>
      <c r="BE111" s="30"/>
      <c r="BF111" s="29"/>
      <c r="BG111" s="29"/>
      <c r="BH111" s="30"/>
      <c r="BI111" s="30"/>
      <c r="BJ111" s="30"/>
      <c r="BK111" s="28">
        <f t="shared" ref="BK111" si="91">BK112</f>
        <v>0</v>
      </c>
      <c r="BL111" s="31" t="e">
        <f t="shared" si="79"/>
        <v>#DIV/0!</v>
      </c>
      <c r="BM111" s="31" t="e">
        <f t="shared" si="80"/>
        <v>#DIV/0!</v>
      </c>
      <c r="BN111" s="28">
        <f>BN112</f>
        <v>0</v>
      </c>
      <c r="BO111" s="31" t="e">
        <f t="shared" si="81"/>
        <v>#DIV/0!</v>
      </c>
      <c r="BP111" s="31" t="e">
        <f t="shared" si="82"/>
        <v>#DIV/0!</v>
      </c>
      <c r="BQ111" s="28">
        <f>BQ112</f>
        <v>0</v>
      </c>
      <c r="BR111" s="31" t="e">
        <f t="shared" si="83"/>
        <v>#DIV/0!</v>
      </c>
    </row>
    <row r="112" spans="1:70" ht="27.75" hidden="1" customHeight="1" x14ac:dyDescent="0.3">
      <c r="A112" s="19" t="s">
        <v>243</v>
      </c>
      <c r="B112" s="47" t="s">
        <v>244</v>
      </c>
      <c r="C112" s="31">
        <v>4120</v>
      </c>
      <c r="D112" s="31">
        <v>0</v>
      </c>
      <c r="E112" s="31">
        <v>6648.8</v>
      </c>
      <c r="F112" s="31">
        <v>6676.4028399999997</v>
      </c>
      <c r="G112" s="31">
        <v>0</v>
      </c>
      <c r="H112" s="31">
        <v>8207.2000000000007</v>
      </c>
      <c r="I112" s="31"/>
      <c r="J112" s="31">
        <v>8205.6428300000007</v>
      </c>
      <c r="K112" s="31">
        <v>0</v>
      </c>
      <c r="L112" s="31">
        <v>105</v>
      </c>
      <c r="M112" s="31">
        <v>105</v>
      </c>
      <c r="N112" s="31">
        <v>73352.537179999999</v>
      </c>
      <c r="O112" s="31">
        <v>0</v>
      </c>
      <c r="P112" s="31">
        <v>1325.905</v>
      </c>
      <c r="Q112" s="31">
        <v>1325.905</v>
      </c>
      <c r="R112" s="31">
        <v>94513.3416</v>
      </c>
      <c r="S112" s="31">
        <v>0</v>
      </c>
      <c r="T112" s="31">
        <v>3405</v>
      </c>
      <c r="U112" s="31">
        <v>3405</v>
      </c>
      <c r="V112" s="31">
        <v>4205.0039999999999</v>
      </c>
      <c r="W112" s="31">
        <v>0</v>
      </c>
      <c r="X112" s="31">
        <v>83.9</v>
      </c>
      <c r="Y112" s="31">
        <v>83.88</v>
      </c>
      <c r="Z112" s="31">
        <v>2115.6184499999999</v>
      </c>
      <c r="AA112" s="31">
        <v>0</v>
      </c>
      <c r="AB112" s="31">
        <v>105</v>
      </c>
      <c r="AC112" s="31">
        <v>113.4066</v>
      </c>
      <c r="AD112" s="31">
        <v>9787.9467600000007</v>
      </c>
      <c r="AE112" s="31">
        <v>0</v>
      </c>
      <c r="AF112" s="31">
        <v>155</v>
      </c>
      <c r="AG112" s="31">
        <v>149.5934</v>
      </c>
      <c r="AH112" s="31">
        <v>58</v>
      </c>
      <c r="AI112" s="31">
        <v>0</v>
      </c>
      <c r="AJ112" s="31">
        <v>0</v>
      </c>
      <c r="AK112" s="31">
        <v>0</v>
      </c>
      <c r="AL112" s="31">
        <v>126.3</v>
      </c>
      <c r="AM112" s="31">
        <v>0</v>
      </c>
      <c r="AN112" s="31"/>
      <c r="AO112" s="31">
        <v>0</v>
      </c>
      <c r="AP112" s="31">
        <v>0</v>
      </c>
      <c r="AQ112" s="31">
        <v>0</v>
      </c>
      <c r="AR112" s="31">
        <v>0</v>
      </c>
      <c r="AS112" s="31">
        <v>0</v>
      </c>
      <c r="AT112" s="31">
        <v>0</v>
      </c>
      <c r="AU112" s="31"/>
      <c r="AV112" s="31">
        <v>0</v>
      </c>
      <c r="AW112" s="31">
        <v>0</v>
      </c>
      <c r="AX112" s="31">
        <v>0</v>
      </c>
      <c r="AY112" s="31"/>
      <c r="AZ112" s="31"/>
      <c r="BA112" s="30"/>
      <c r="BB112" s="30"/>
      <c r="BC112" s="30"/>
      <c r="BD112" s="30">
        <f t="shared" si="74"/>
        <v>0</v>
      </c>
      <c r="BE112" s="30" t="e">
        <f t="shared" si="75"/>
        <v>#DIV/0!</v>
      </c>
      <c r="BF112" s="30">
        <v>0</v>
      </c>
      <c r="BG112" s="30"/>
      <c r="BH112" s="30" t="e">
        <f t="shared" si="76"/>
        <v>#DIV/0!</v>
      </c>
      <c r="BI112" s="30" t="e">
        <f t="shared" si="77"/>
        <v>#DIV/0!</v>
      </c>
      <c r="BJ112" s="30" t="e">
        <f t="shared" si="78"/>
        <v>#DIV/0!</v>
      </c>
      <c r="BK112" s="31">
        <v>0</v>
      </c>
      <c r="BL112" s="31" t="e">
        <f t="shared" si="79"/>
        <v>#DIV/0!</v>
      </c>
      <c r="BM112" s="31" t="e">
        <f t="shared" si="80"/>
        <v>#DIV/0!</v>
      </c>
      <c r="BN112" s="31">
        <v>0</v>
      </c>
      <c r="BO112" s="31" t="e">
        <f t="shared" si="81"/>
        <v>#DIV/0!</v>
      </c>
      <c r="BP112" s="31" t="e">
        <f t="shared" si="82"/>
        <v>#DIV/0!</v>
      </c>
      <c r="BQ112" s="31">
        <v>0</v>
      </c>
      <c r="BR112" s="31" t="e">
        <f t="shared" si="83"/>
        <v>#DIV/0!</v>
      </c>
    </row>
    <row r="113" spans="1:70" ht="27.75" hidden="1" customHeight="1" x14ac:dyDescent="0.3">
      <c r="A113" s="19" t="s">
        <v>245</v>
      </c>
      <c r="B113" s="47" t="s">
        <v>246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>
        <v>126.30661000000001</v>
      </c>
      <c r="AN113" s="31"/>
      <c r="AO113" s="31"/>
      <c r="AP113" s="31"/>
      <c r="AQ113" s="31"/>
      <c r="AR113" s="31"/>
      <c r="AS113" s="31"/>
      <c r="AT113" s="31"/>
      <c r="AU113" s="31">
        <v>126.30661000000001</v>
      </c>
      <c r="AV113" s="31"/>
      <c r="AW113" s="31"/>
      <c r="AX113" s="31"/>
      <c r="AY113" s="31"/>
      <c r="AZ113" s="31"/>
      <c r="BA113" s="30"/>
      <c r="BB113" s="30"/>
      <c r="BC113" s="30"/>
      <c r="BD113" s="30">
        <f t="shared" si="74"/>
        <v>0</v>
      </c>
      <c r="BE113" s="30" t="e">
        <f t="shared" si="75"/>
        <v>#DIV/0!</v>
      </c>
      <c r="BF113" s="30"/>
      <c r="BG113" s="30"/>
      <c r="BH113" s="30" t="e">
        <f t="shared" si="76"/>
        <v>#DIV/0!</v>
      </c>
      <c r="BI113" s="30" t="e">
        <f t="shared" si="77"/>
        <v>#DIV/0!</v>
      </c>
      <c r="BJ113" s="30" t="e">
        <f t="shared" si="78"/>
        <v>#DIV/0!</v>
      </c>
      <c r="BK113" s="31"/>
      <c r="BL113" s="31" t="e">
        <f t="shared" si="79"/>
        <v>#DIV/0!</v>
      </c>
      <c r="BM113" s="31" t="e">
        <f t="shared" si="80"/>
        <v>#DIV/0!</v>
      </c>
      <c r="BN113" s="31"/>
      <c r="BO113" s="31" t="e">
        <f t="shared" si="81"/>
        <v>#DIV/0!</v>
      </c>
      <c r="BP113" s="31" t="e">
        <f t="shared" si="82"/>
        <v>#DIV/0!</v>
      </c>
      <c r="BQ113" s="31"/>
      <c r="BR113" s="31" t="e">
        <f t="shared" si="83"/>
        <v>#DIV/0!</v>
      </c>
    </row>
    <row r="114" spans="1:70" ht="27.75" hidden="1" customHeight="1" x14ac:dyDescent="0.3">
      <c r="A114" s="58" t="s">
        <v>247</v>
      </c>
      <c r="B114" s="59" t="s">
        <v>248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>
        <v>100</v>
      </c>
      <c r="AI114" s="31"/>
      <c r="AJ114" s="31"/>
      <c r="AK114" s="31"/>
      <c r="AL114" s="31"/>
      <c r="AM114" s="31"/>
      <c r="AN114" s="31">
        <v>3.0000000000000001E-3</v>
      </c>
      <c r="AO114" s="31"/>
      <c r="AP114" s="31"/>
      <c r="AQ114" s="31"/>
      <c r="AR114" s="31"/>
      <c r="AS114" s="31"/>
      <c r="AT114" s="31"/>
      <c r="AU114" s="31">
        <v>178.20099999999999</v>
      </c>
      <c r="AV114" s="31"/>
      <c r="AW114" s="31"/>
      <c r="AX114" s="31"/>
      <c r="AY114" s="31"/>
      <c r="AZ114" s="31"/>
      <c r="BA114" s="30"/>
      <c r="BB114" s="30"/>
      <c r="BC114" s="30"/>
      <c r="BD114" s="30">
        <f t="shared" si="74"/>
        <v>0</v>
      </c>
      <c r="BE114" s="30" t="e">
        <f t="shared" si="75"/>
        <v>#DIV/0!</v>
      </c>
      <c r="BF114" s="30"/>
      <c r="BG114" s="30">
        <v>111485.77899999999</v>
      </c>
      <c r="BH114" s="30" t="e">
        <f t="shared" si="76"/>
        <v>#DIV/0!</v>
      </c>
      <c r="BI114" s="30" t="e">
        <f t="shared" si="77"/>
        <v>#DIV/0!</v>
      </c>
      <c r="BJ114" s="30" t="e">
        <f t="shared" si="78"/>
        <v>#DIV/0!</v>
      </c>
      <c r="BK114" s="31"/>
      <c r="BL114" s="31" t="e">
        <f t="shared" si="79"/>
        <v>#DIV/0!</v>
      </c>
      <c r="BM114" s="31" t="e">
        <f t="shared" si="80"/>
        <v>#DIV/0!</v>
      </c>
      <c r="BN114" s="31"/>
      <c r="BO114" s="31" t="e">
        <f t="shared" si="81"/>
        <v>#DIV/0!</v>
      </c>
      <c r="BP114" s="31" t="e">
        <f t="shared" si="82"/>
        <v>#DIV/0!</v>
      </c>
      <c r="BQ114" s="31"/>
      <c r="BR114" s="31" t="e">
        <f t="shared" si="83"/>
        <v>#DIV/0!</v>
      </c>
    </row>
    <row r="115" spans="1:70" ht="27.75" hidden="1" customHeight="1" x14ac:dyDescent="0.3">
      <c r="A115" s="58" t="s">
        <v>249</v>
      </c>
      <c r="B115" s="59" t="s">
        <v>250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>
        <v>9.9999599999999997</v>
      </c>
      <c r="AI115" s="31"/>
      <c r="AJ115" s="31"/>
      <c r="AK115" s="31"/>
      <c r="AL115" s="31"/>
      <c r="AM115" s="31"/>
      <c r="AN115" s="31">
        <v>77.680400000000006</v>
      </c>
      <c r="AO115" s="31"/>
      <c r="AP115" s="31"/>
      <c r="AQ115" s="31"/>
      <c r="AR115" s="31"/>
      <c r="AS115" s="31"/>
      <c r="AT115" s="31"/>
      <c r="AU115" s="31">
        <v>122.6172</v>
      </c>
      <c r="AV115" s="31"/>
      <c r="AW115" s="31"/>
      <c r="AX115" s="31"/>
      <c r="AY115" s="31"/>
      <c r="AZ115" s="31"/>
      <c r="BA115" s="30"/>
      <c r="BB115" s="30"/>
      <c r="BC115" s="30"/>
      <c r="BD115" s="30">
        <f t="shared" si="74"/>
        <v>0</v>
      </c>
      <c r="BE115" s="30" t="e">
        <f t="shared" si="75"/>
        <v>#DIV/0!</v>
      </c>
      <c r="BF115" s="30"/>
      <c r="BG115" s="30">
        <v>21.84</v>
      </c>
      <c r="BH115" s="30" t="e">
        <f t="shared" si="76"/>
        <v>#DIV/0!</v>
      </c>
      <c r="BI115" s="30" t="e">
        <f t="shared" si="77"/>
        <v>#DIV/0!</v>
      </c>
      <c r="BJ115" s="30" t="e">
        <f t="shared" si="78"/>
        <v>#DIV/0!</v>
      </c>
      <c r="BK115" s="31"/>
      <c r="BL115" s="31" t="e">
        <f t="shared" si="79"/>
        <v>#DIV/0!</v>
      </c>
      <c r="BM115" s="31" t="e">
        <f t="shared" si="80"/>
        <v>#DIV/0!</v>
      </c>
      <c r="BN115" s="31"/>
      <c r="BO115" s="31" t="e">
        <f t="shared" si="81"/>
        <v>#DIV/0!</v>
      </c>
      <c r="BP115" s="31" t="e">
        <f t="shared" si="82"/>
        <v>#DIV/0!</v>
      </c>
      <c r="BQ115" s="31"/>
      <c r="BR115" s="31" t="e">
        <f t="shared" si="83"/>
        <v>#DIV/0!</v>
      </c>
    </row>
    <row r="116" spans="1:70" ht="27.75" hidden="1" customHeight="1" x14ac:dyDescent="0.3">
      <c r="A116" s="58" t="s">
        <v>251</v>
      </c>
      <c r="B116" s="59" t="s">
        <v>252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>
        <v>999.00909999999999</v>
      </c>
      <c r="AI116" s="31"/>
      <c r="AJ116" s="31"/>
      <c r="AK116" s="31"/>
      <c r="AL116" s="31"/>
      <c r="AM116" s="31"/>
      <c r="AN116" s="31">
        <v>1548.41425</v>
      </c>
      <c r="AO116" s="31"/>
      <c r="AP116" s="31"/>
      <c r="AQ116" s="31"/>
      <c r="AR116" s="31"/>
      <c r="AS116" s="31"/>
      <c r="AT116" s="31"/>
      <c r="AU116" s="31">
        <v>163458.22962999999</v>
      </c>
      <c r="AV116" s="31"/>
      <c r="AW116" s="31"/>
      <c r="AX116" s="31"/>
      <c r="AY116" s="31"/>
      <c r="AZ116" s="31"/>
      <c r="BA116" s="30"/>
      <c r="BB116" s="30"/>
      <c r="BC116" s="30"/>
      <c r="BD116" s="30">
        <f t="shared" si="74"/>
        <v>0</v>
      </c>
      <c r="BE116" s="30" t="e">
        <f t="shared" si="75"/>
        <v>#DIV/0!</v>
      </c>
      <c r="BF116" s="30"/>
      <c r="BG116" s="30">
        <v>23899.9336</v>
      </c>
      <c r="BH116" s="30" t="e">
        <f t="shared" si="76"/>
        <v>#DIV/0!</v>
      </c>
      <c r="BI116" s="30" t="e">
        <f t="shared" si="77"/>
        <v>#DIV/0!</v>
      </c>
      <c r="BJ116" s="30" t="e">
        <f t="shared" si="78"/>
        <v>#DIV/0!</v>
      </c>
      <c r="BK116" s="31"/>
      <c r="BL116" s="31" t="e">
        <f t="shared" si="79"/>
        <v>#DIV/0!</v>
      </c>
      <c r="BM116" s="31" t="e">
        <f t="shared" si="80"/>
        <v>#DIV/0!</v>
      </c>
      <c r="BN116" s="31"/>
      <c r="BO116" s="31" t="e">
        <f t="shared" si="81"/>
        <v>#DIV/0!</v>
      </c>
      <c r="BP116" s="31" t="e">
        <f t="shared" si="82"/>
        <v>#DIV/0!</v>
      </c>
      <c r="BQ116" s="31"/>
      <c r="BR116" s="31" t="e">
        <f t="shared" si="83"/>
        <v>#DIV/0!</v>
      </c>
    </row>
    <row r="117" spans="1:70" ht="27.75" hidden="1" customHeight="1" x14ac:dyDescent="0.3">
      <c r="A117" s="19" t="s">
        <v>253</v>
      </c>
      <c r="B117" s="47" t="s">
        <v>254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1">
        <v>0</v>
      </c>
      <c r="U117" s="31">
        <v>0</v>
      </c>
      <c r="V117" s="31">
        <v>0</v>
      </c>
      <c r="W117" s="31">
        <v>0</v>
      </c>
      <c r="X117" s="31">
        <v>0</v>
      </c>
      <c r="Y117" s="31">
        <v>0</v>
      </c>
      <c r="Z117" s="31">
        <v>0</v>
      </c>
      <c r="AA117" s="31">
        <v>0</v>
      </c>
      <c r="AB117" s="31">
        <v>0</v>
      </c>
      <c r="AC117" s="31">
        <v>0</v>
      </c>
      <c r="AD117" s="31">
        <v>0</v>
      </c>
      <c r="AE117" s="31">
        <v>0</v>
      </c>
      <c r="AF117" s="31">
        <v>0</v>
      </c>
      <c r="AG117" s="31">
        <v>0</v>
      </c>
      <c r="AH117" s="31">
        <v>0</v>
      </c>
      <c r="AI117" s="31">
        <v>0</v>
      </c>
      <c r="AJ117" s="31">
        <v>0</v>
      </c>
      <c r="AK117" s="31">
        <v>0</v>
      </c>
      <c r="AL117" s="31">
        <v>0</v>
      </c>
      <c r="AM117" s="31">
        <v>0</v>
      </c>
      <c r="AN117" s="31">
        <v>0</v>
      </c>
      <c r="AO117" s="31">
        <v>0</v>
      </c>
      <c r="AP117" s="31">
        <v>0</v>
      </c>
      <c r="AQ117" s="31">
        <v>0</v>
      </c>
      <c r="AR117" s="31">
        <v>0</v>
      </c>
      <c r="AS117" s="31">
        <v>0</v>
      </c>
      <c r="AT117" s="31">
        <v>0</v>
      </c>
      <c r="AU117" s="31">
        <v>0</v>
      </c>
      <c r="AV117" s="31">
        <v>0</v>
      </c>
      <c r="AW117" s="31">
        <v>0</v>
      </c>
      <c r="AX117" s="31">
        <v>0</v>
      </c>
      <c r="AY117" s="31"/>
      <c r="AZ117" s="31"/>
      <c r="BA117" s="30"/>
      <c r="BB117" s="30"/>
      <c r="BC117" s="30"/>
      <c r="BD117" s="30">
        <f t="shared" si="74"/>
        <v>0</v>
      </c>
      <c r="BE117" s="30" t="e">
        <f t="shared" si="75"/>
        <v>#DIV/0!</v>
      </c>
      <c r="BF117" s="30">
        <v>0</v>
      </c>
      <c r="BG117" s="30">
        <v>0</v>
      </c>
      <c r="BH117" s="30" t="e">
        <f t="shared" si="76"/>
        <v>#DIV/0!</v>
      </c>
      <c r="BI117" s="30" t="e">
        <f t="shared" si="77"/>
        <v>#DIV/0!</v>
      </c>
      <c r="BJ117" s="30" t="e">
        <f t="shared" si="78"/>
        <v>#DIV/0!</v>
      </c>
      <c r="BK117" s="31">
        <v>0</v>
      </c>
      <c r="BL117" s="31" t="e">
        <f t="shared" si="79"/>
        <v>#DIV/0!</v>
      </c>
      <c r="BM117" s="31" t="e">
        <f t="shared" si="80"/>
        <v>#DIV/0!</v>
      </c>
      <c r="BN117" s="31">
        <v>0</v>
      </c>
      <c r="BO117" s="31" t="e">
        <f t="shared" si="81"/>
        <v>#DIV/0!</v>
      </c>
      <c r="BP117" s="31" t="e">
        <f t="shared" si="82"/>
        <v>#DIV/0!</v>
      </c>
      <c r="BQ117" s="31">
        <v>0</v>
      </c>
      <c r="BR117" s="31" t="e">
        <f t="shared" si="83"/>
        <v>#DIV/0!</v>
      </c>
    </row>
    <row r="118" spans="1:70" ht="18.75" customHeight="1" x14ac:dyDescent="0.3">
      <c r="A118" s="252" t="s">
        <v>255</v>
      </c>
      <c r="B118" s="252"/>
      <c r="C118" s="28">
        <f t="shared" ref="C118:AH118" si="92">+C63+C6</f>
        <v>104581.42951399999</v>
      </c>
      <c r="D118" s="28">
        <f t="shared" si="92"/>
        <v>69232.700000000012</v>
      </c>
      <c r="E118" s="28">
        <f t="shared" si="92"/>
        <v>128350.8</v>
      </c>
      <c r="F118" s="28">
        <f t="shared" si="92"/>
        <v>130281.71708999999</v>
      </c>
      <c r="G118" s="28">
        <f t="shared" si="92"/>
        <v>85657</v>
      </c>
      <c r="H118" s="28">
        <f t="shared" si="92"/>
        <v>118402.29999999999</v>
      </c>
      <c r="I118" s="28">
        <f t="shared" si="92"/>
        <v>45701.921789999993</v>
      </c>
      <c r="J118" s="28">
        <f t="shared" si="92"/>
        <v>117955.08033</v>
      </c>
      <c r="K118" s="28">
        <f t="shared" si="92"/>
        <v>78465.600000000006</v>
      </c>
      <c r="L118" s="28">
        <f t="shared" si="92"/>
        <v>98615.6</v>
      </c>
      <c r="M118" s="28">
        <f t="shared" si="92"/>
        <v>98864.413520000002</v>
      </c>
      <c r="N118" s="28">
        <f t="shared" si="92"/>
        <v>214430.56158999997</v>
      </c>
      <c r="O118" s="28">
        <f t="shared" si="92"/>
        <v>86431.1</v>
      </c>
      <c r="P118" s="28">
        <f t="shared" si="92"/>
        <v>115999.32769000001</v>
      </c>
      <c r="Q118" s="28">
        <f t="shared" si="92"/>
        <v>117172.04873000001</v>
      </c>
      <c r="R118" s="28">
        <f t="shared" si="92"/>
        <v>185717.09645999997</v>
      </c>
      <c r="S118" s="28">
        <f t="shared" si="92"/>
        <v>92768.2</v>
      </c>
      <c r="T118" s="28">
        <f t="shared" si="92"/>
        <v>117225.5</v>
      </c>
      <c r="U118" s="28">
        <f t="shared" si="92"/>
        <v>118791.95631000001</v>
      </c>
      <c r="V118" s="28">
        <f t="shared" si="92"/>
        <v>196716.88946000001</v>
      </c>
      <c r="W118" s="28">
        <f t="shared" si="92"/>
        <v>86441.299999999988</v>
      </c>
      <c r="X118" s="28">
        <f t="shared" si="92"/>
        <v>127205.09999999999</v>
      </c>
      <c r="Y118" s="28">
        <f t="shared" si="92"/>
        <v>130607.75665</v>
      </c>
      <c r="Z118" s="28">
        <f t="shared" si="92"/>
        <v>110666.99702</v>
      </c>
      <c r="AA118" s="28">
        <f t="shared" si="92"/>
        <v>84978.6</v>
      </c>
      <c r="AB118" s="28">
        <f t="shared" si="92"/>
        <v>125463.94</v>
      </c>
      <c r="AC118" s="28">
        <f t="shared" si="92"/>
        <v>128397.08405</v>
      </c>
      <c r="AD118" s="28">
        <f t="shared" si="92"/>
        <v>144813.58626000001</v>
      </c>
      <c r="AE118" s="28">
        <f t="shared" si="92"/>
        <v>89208.599999999991</v>
      </c>
      <c r="AF118" s="28">
        <f t="shared" si="92"/>
        <v>119598.19999999998</v>
      </c>
      <c r="AG118" s="28">
        <f t="shared" si="92"/>
        <v>120294.27007</v>
      </c>
      <c r="AH118" s="28">
        <f t="shared" si="92"/>
        <v>115778.31318</v>
      </c>
      <c r="AI118" s="28">
        <f t="shared" ref="AI118:BC118" si="93">+AI63+AI6</f>
        <v>87729.300000000017</v>
      </c>
      <c r="AJ118" s="28">
        <f t="shared" si="93"/>
        <v>76868.600000000006</v>
      </c>
      <c r="AK118" s="28">
        <f t="shared" si="93"/>
        <v>76881.600000000006</v>
      </c>
      <c r="AL118" s="28">
        <f t="shared" si="93"/>
        <v>130173.20000000001</v>
      </c>
      <c r="AM118" s="28">
        <f t="shared" si="93"/>
        <v>130507.72010999999</v>
      </c>
      <c r="AN118" s="28">
        <f t="shared" si="93"/>
        <v>168385.76149999999</v>
      </c>
      <c r="AO118" s="28">
        <f t="shared" si="93"/>
        <v>87570.9</v>
      </c>
      <c r="AP118" s="28">
        <f t="shared" si="93"/>
        <v>85238.1</v>
      </c>
      <c r="AQ118" s="28">
        <f t="shared" si="93"/>
        <v>85242.4</v>
      </c>
      <c r="AR118" s="28">
        <f t="shared" si="93"/>
        <v>107198.9</v>
      </c>
      <c r="AS118" s="28">
        <f t="shared" si="93"/>
        <v>121196.9</v>
      </c>
      <c r="AT118" s="28">
        <f t="shared" si="93"/>
        <v>119310.76258000001</v>
      </c>
      <c r="AU118" s="28">
        <f t="shared" si="93"/>
        <v>80696.441040000005</v>
      </c>
      <c r="AV118" s="28">
        <f t="shared" si="93"/>
        <v>90893.099999999991</v>
      </c>
      <c r="AW118" s="28">
        <f t="shared" si="93"/>
        <v>75501.2</v>
      </c>
      <c r="AX118" s="28">
        <f t="shared" si="93"/>
        <v>80518.699999999983</v>
      </c>
      <c r="AY118" s="28">
        <f t="shared" si="93"/>
        <v>107637.8</v>
      </c>
      <c r="AZ118" s="28">
        <f t="shared" si="93"/>
        <v>120359.5</v>
      </c>
      <c r="BA118" s="29">
        <f t="shared" si="93"/>
        <v>128944.59999999999</v>
      </c>
      <c r="BB118" s="29">
        <f t="shared" si="93"/>
        <v>130554.29999999999</v>
      </c>
      <c r="BC118" s="29">
        <f t="shared" si="93"/>
        <v>135230.20000000001</v>
      </c>
      <c r="BD118" s="30">
        <f t="shared" si="74"/>
        <v>44337.10000000002</v>
      </c>
      <c r="BE118" s="30">
        <f t="shared" si="75"/>
        <v>148.77939029475286</v>
      </c>
      <c r="BF118" s="29">
        <f>+BF63+BF6</f>
        <v>136866.49262999999</v>
      </c>
      <c r="BG118" s="29">
        <f>+BG63+BG6</f>
        <v>61229.83213000001</v>
      </c>
      <c r="BH118" s="30">
        <f t="shared" si="76"/>
        <v>114.71428869480953</v>
      </c>
      <c r="BI118" s="30">
        <f t="shared" si="77"/>
        <v>150.57962884971468</v>
      </c>
      <c r="BJ118" s="30">
        <f t="shared" si="78"/>
        <v>101.21000533164928</v>
      </c>
      <c r="BK118" s="28">
        <f>+BK63+BK6</f>
        <v>98489.3</v>
      </c>
      <c r="BL118" s="31">
        <f t="shared" si="79"/>
        <v>71.960125599369647</v>
      </c>
      <c r="BM118" s="31">
        <f t="shared" si="80"/>
        <v>130.44733063845345</v>
      </c>
      <c r="BN118" s="28">
        <f>+BN63+BN6</f>
        <v>82142.799999999988</v>
      </c>
      <c r="BO118" s="31">
        <f t="shared" si="81"/>
        <v>83.40276557961117</v>
      </c>
      <c r="BP118" s="31">
        <f t="shared" si="82"/>
        <v>102.01704697169727</v>
      </c>
      <c r="BQ118" s="28">
        <f>+BQ63+BQ6</f>
        <v>82170.399999999994</v>
      </c>
      <c r="BR118" s="31">
        <f t="shared" si="83"/>
        <v>100.03360002337394</v>
      </c>
    </row>
    <row r="119" spans="1:70" ht="27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60"/>
      <c r="BB119" s="60"/>
      <c r="BC119" s="60"/>
      <c r="BD119" s="61"/>
      <c r="BE119" s="61"/>
      <c r="BF119" s="60"/>
      <c r="BG119" s="60"/>
      <c r="BH119" s="60"/>
      <c r="BI119" s="60"/>
      <c r="BJ119" s="60"/>
      <c r="BK119" s="1"/>
      <c r="BL119" s="1"/>
      <c r="BM119" s="1"/>
      <c r="BN119" s="1"/>
      <c r="BO119" s="1"/>
      <c r="BP119" s="1"/>
      <c r="BQ119" s="1"/>
      <c r="BR119" s="1"/>
    </row>
    <row r="120" spans="1:70" ht="27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60"/>
      <c r="BB120" s="60"/>
      <c r="BC120" s="60"/>
      <c r="BD120" s="61"/>
      <c r="BE120" s="61"/>
      <c r="BF120" s="60"/>
      <c r="BG120" s="60"/>
      <c r="BH120" s="60"/>
      <c r="BI120" s="60"/>
      <c r="BJ120" s="60"/>
      <c r="BK120" s="1"/>
      <c r="BL120" s="1"/>
      <c r="BM120" s="1"/>
      <c r="BN120" s="1"/>
      <c r="BO120" s="1"/>
      <c r="BP120" s="1"/>
      <c r="BQ120" s="1"/>
      <c r="BR120" s="1"/>
    </row>
    <row r="121" spans="1:70" ht="27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60"/>
      <c r="BB121" s="60"/>
      <c r="BC121" s="60"/>
      <c r="BD121" s="61"/>
      <c r="BE121" s="61"/>
      <c r="BF121" s="60"/>
      <c r="BG121" s="60"/>
      <c r="BH121" s="60"/>
      <c r="BI121" s="60"/>
      <c r="BJ121" s="60"/>
      <c r="BK121" s="1"/>
      <c r="BL121" s="1"/>
      <c r="BM121" s="1"/>
      <c r="BN121" s="1"/>
      <c r="BO121" s="1"/>
      <c r="BP121" s="1"/>
      <c r="BQ121" s="1"/>
      <c r="BR121" s="1"/>
    </row>
    <row r="122" spans="1:70" ht="27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60"/>
      <c r="BB122" s="60"/>
      <c r="BC122" s="60"/>
      <c r="BD122" s="61"/>
      <c r="BE122" s="61"/>
      <c r="BF122" s="60"/>
      <c r="BG122" s="60"/>
      <c r="BH122" s="60"/>
      <c r="BI122" s="60"/>
      <c r="BJ122" s="60"/>
      <c r="BK122" s="1"/>
      <c r="BL122" s="1"/>
      <c r="BM122" s="1"/>
      <c r="BN122" s="1"/>
      <c r="BO122" s="1"/>
      <c r="BP122" s="1"/>
      <c r="BQ122" s="1"/>
      <c r="BR122" s="1"/>
    </row>
    <row r="123" spans="1:70" ht="27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60"/>
      <c r="BB123" s="60"/>
      <c r="BC123" s="60"/>
      <c r="BD123" s="61"/>
      <c r="BE123" s="61"/>
      <c r="BF123" s="60"/>
      <c r="BG123" s="60"/>
      <c r="BH123" s="60"/>
      <c r="BI123" s="60"/>
      <c r="BJ123" s="60"/>
      <c r="BK123" s="1"/>
      <c r="BL123" s="1"/>
      <c r="BM123" s="1"/>
      <c r="BN123" s="1"/>
      <c r="BO123" s="1"/>
      <c r="BP123" s="1"/>
      <c r="BQ123" s="1"/>
      <c r="BR123" s="1"/>
    </row>
    <row r="124" spans="1:70" ht="27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60"/>
      <c r="BB124" s="60"/>
      <c r="BC124" s="60"/>
      <c r="BD124" s="61"/>
      <c r="BE124" s="61"/>
      <c r="BF124" s="60"/>
      <c r="BG124" s="60"/>
      <c r="BH124" s="60"/>
      <c r="BI124" s="60"/>
      <c r="BJ124" s="60"/>
      <c r="BK124" s="1"/>
      <c r="BL124" s="1"/>
      <c r="BM124" s="1"/>
      <c r="BN124" s="1"/>
      <c r="BO124" s="1"/>
      <c r="BP124" s="1"/>
      <c r="BQ124" s="1"/>
      <c r="BR124" s="1"/>
    </row>
    <row r="125" spans="1:70" ht="27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60"/>
      <c r="BB125" s="60"/>
      <c r="BC125" s="60"/>
      <c r="BD125" s="61"/>
      <c r="BE125" s="61"/>
      <c r="BF125" s="60"/>
      <c r="BG125" s="60"/>
      <c r="BH125" s="60"/>
      <c r="BI125" s="60"/>
      <c r="BJ125" s="60"/>
      <c r="BK125" s="1"/>
      <c r="BL125" s="1"/>
      <c r="BM125" s="1"/>
      <c r="BN125" s="1"/>
      <c r="BO125" s="1"/>
      <c r="BP125" s="1"/>
      <c r="BQ125" s="1"/>
      <c r="BR125" s="1"/>
    </row>
    <row r="126" spans="1:70" ht="27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60"/>
      <c r="BB126" s="60"/>
      <c r="BC126" s="60"/>
      <c r="BD126" s="61"/>
      <c r="BE126" s="61"/>
      <c r="BF126" s="60"/>
      <c r="BG126" s="60"/>
      <c r="BH126" s="60"/>
      <c r="BI126" s="60"/>
      <c r="BJ126" s="60"/>
      <c r="BK126" s="1"/>
      <c r="BL126" s="1"/>
      <c r="BM126" s="1"/>
      <c r="BN126" s="1"/>
      <c r="BO126" s="1"/>
      <c r="BP126" s="1"/>
      <c r="BQ126" s="1"/>
      <c r="BR126" s="1"/>
    </row>
    <row r="127" spans="1:70" ht="27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60"/>
      <c r="BB127" s="60"/>
      <c r="BC127" s="60"/>
      <c r="BD127" s="61"/>
      <c r="BE127" s="61"/>
      <c r="BF127" s="60"/>
      <c r="BG127" s="60"/>
      <c r="BH127" s="60"/>
      <c r="BI127" s="60"/>
      <c r="BJ127" s="60"/>
      <c r="BK127" s="1"/>
      <c r="BL127" s="1"/>
      <c r="BM127" s="1"/>
      <c r="BN127" s="1"/>
      <c r="BO127" s="1"/>
      <c r="BP127" s="1"/>
      <c r="BQ127" s="1"/>
      <c r="BR127" s="1"/>
    </row>
    <row r="128" spans="1:70" ht="27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60"/>
      <c r="BB128" s="60"/>
      <c r="BC128" s="60"/>
      <c r="BD128" s="61"/>
      <c r="BE128" s="61"/>
      <c r="BF128" s="60"/>
      <c r="BG128" s="60"/>
      <c r="BH128" s="60"/>
      <c r="BI128" s="60"/>
      <c r="BJ128" s="60"/>
      <c r="BK128" s="1"/>
      <c r="BL128" s="1"/>
      <c r="BM128" s="1"/>
      <c r="BN128" s="1"/>
      <c r="BO128" s="1"/>
      <c r="BP128" s="1"/>
      <c r="BQ128" s="1"/>
      <c r="BR128" s="1"/>
    </row>
    <row r="129" spans="1:70" ht="27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60"/>
      <c r="BB129" s="60"/>
      <c r="BC129" s="60"/>
      <c r="BD129" s="61"/>
      <c r="BE129" s="61"/>
      <c r="BF129" s="60"/>
      <c r="BG129" s="60"/>
      <c r="BH129" s="60"/>
      <c r="BI129" s="60"/>
      <c r="BJ129" s="60"/>
      <c r="BK129" s="1"/>
      <c r="BL129" s="1"/>
      <c r="BM129" s="1"/>
      <c r="BN129" s="1"/>
      <c r="BO129" s="1"/>
      <c r="BP129" s="1"/>
      <c r="BQ129" s="1"/>
      <c r="BR129" s="1"/>
    </row>
  </sheetData>
  <mergeCells count="35">
    <mergeCell ref="V4:V5"/>
    <mergeCell ref="A4:A5"/>
    <mergeCell ref="B4:B5"/>
    <mergeCell ref="C4:C5"/>
    <mergeCell ref="F4:F5"/>
    <mergeCell ref="I4:I5"/>
    <mergeCell ref="J4:J5"/>
    <mergeCell ref="M4:M5"/>
    <mergeCell ref="N4:N5"/>
    <mergeCell ref="Q4:Q5"/>
    <mergeCell ref="R4:R5"/>
    <mergeCell ref="U4:U5"/>
    <mergeCell ref="AT4:AT5"/>
    <mergeCell ref="Y4:Y5"/>
    <mergeCell ref="Z4:Z5"/>
    <mergeCell ref="AC4:AC5"/>
    <mergeCell ref="AD4:AD5"/>
    <mergeCell ref="AG4:AG5"/>
    <mergeCell ref="AH4:AH5"/>
    <mergeCell ref="BH4:BH5"/>
    <mergeCell ref="BI4:BI5"/>
    <mergeCell ref="BJ4:BJ5"/>
    <mergeCell ref="BK4:BR4"/>
    <mergeCell ref="A118:B118"/>
    <mergeCell ref="AU4:AU5"/>
    <mergeCell ref="AV4:AX4"/>
    <mergeCell ref="BD4:BD5"/>
    <mergeCell ref="BE4:BE5"/>
    <mergeCell ref="BF4:BF5"/>
    <mergeCell ref="BG4:BG5"/>
    <mergeCell ref="AI4:AK4"/>
    <mergeCell ref="AM4:AM5"/>
    <mergeCell ref="AN4:AN5"/>
    <mergeCell ref="AO4:AQ4"/>
    <mergeCell ref="AS4:AS5"/>
  </mergeCells>
  <pageMargins left="0.59055118110236227" right="0" top="0.39370078740157483" bottom="0.59055118110236227" header="0" footer="0"/>
  <pageSetup paperSize="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3"/>
  <sheetViews>
    <sheetView topLeftCell="A2" zoomScale="120" zoomScaleNormal="120" zoomScaleSheetLayoutView="78" workbookViewId="0">
      <pane xSplit="3" ySplit="3" topLeftCell="AD34" activePane="bottomRight" state="frozen"/>
      <selection activeCell="A2" sqref="A2"/>
      <selection pane="topRight" activeCell="D2" sqref="D2"/>
      <selection pane="bottomLeft" activeCell="A5" sqref="A5"/>
      <selection pane="bottomRight" activeCell="A2" sqref="A2:AT48"/>
    </sheetView>
  </sheetViews>
  <sheetFormatPr defaultColWidth="9.109375" defaultRowHeight="10.199999999999999" x14ac:dyDescent="0.2"/>
  <cols>
    <col min="1" max="1" width="20.109375" style="66" customWidth="1"/>
    <col min="2" max="2" width="3.109375" style="66" customWidth="1"/>
    <col min="3" max="3" width="3.33203125" style="158" customWidth="1"/>
    <col min="4" max="4" width="8.44140625" style="158" hidden="1" customWidth="1"/>
    <col min="5" max="5" width="7.88671875" style="158" hidden="1" customWidth="1"/>
    <col min="6" max="6" width="7.88671875" style="66" hidden="1" customWidth="1"/>
    <col min="7" max="7" width="7.109375" style="67" hidden="1" customWidth="1"/>
    <col min="8" max="8" width="7.88671875" style="67" hidden="1" customWidth="1"/>
    <col min="9" max="9" width="8.5546875" style="66" hidden="1" customWidth="1"/>
    <col min="10" max="10" width="7.88671875" style="66" hidden="1" customWidth="1"/>
    <col min="11" max="11" width="8.44140625" style="66" hidden="1" customWidth="1"/>
    <col min="12" max="12" width="8.5546875" style="67" hidden="1" customWidth="1"/>
    <col min="13" max="13" width="8.88671875" style="68" hidden="1" customWidth="1"/>
    <col min="14" max="14" width="8.88671875" style="67" hidden="1" customWidth="1"/>
    <col min="15" max="15" width="8.44140625" style="67" hidden="1" customWidth="1"/>
    <col min="16" max="16" width="8.88671875" style="67" hidden="1" customWidth="1"/>
    <col min="17" max="17" width="8.5546875" style="69" hidden="1" customWidth="1"/>
    <col min="18" max="18" width="8.6640625" style="66" hidden="1" customWidth="1"/>
    <col min="19" max="19" width="8.109375" style="66" hidden="1" customWidth="1"/>
    <col min="20" max="20" width="8" style="66" customWidth="1"/>
    <col min="21" max="21" width="7.109375" style="70" customWidth="1"/>
    <col min="22" max="22" width="8.109375" style="70" hidden="1" customWidth="1"/>
    <col min="23" max="24" width="8.33203125" style="70" hidden="1" customWidth="1"/>
    <col min="25" max="25" width="8.109375" style="70" hidden="1" customWidth="1"/>
    <col min="26" max="26" width="7.88671875" style="70" hidden="1" customWidth="1"/>
    <col min="27" max="27" width="7.88671875" style="70" customWidth="1"/>
    <col min="28" max="28" width="8.5546875" style="70" customWidth="1"/>
    <col min="29" max="29" width="8.109375" style="70" customWidth="1"/>
    <col min="30" max="30" width="8.44140625" style="70" customWidth="1"/>
    <col min="31" max="32" width="8" style="70" customWidth="1"/>
    <col min="33" max="33" width="8.33203125" style="70" customWidth="1"/>
    <col min="34" max="34" width="8.44140625" style="70" customWidth="1"/>
    <col min="35" max="35" width="7.5546875" style="70" customWidth="1"/>
    <col min="36" max="36" width="7.88671875" style="70" customWidth="1"/>
    <col min="37" max="38" width="8" style="70" customWidth="1"/>
    <col min="39" max="39" width="6.88671875" style="70" customWidth="1"/>
    <col min="40" max="40" width="7" style="70" hidden="1" customWidth="1"/>
    <col min="41" max="41" width="7.88671875" style="70" hidden="1" customWidth="1"/>
    <col min="42" max="42" width="7.6640625" style="70" hidden="1" customWidth="1"/>
    <col min="43" max="44" width="7" style="70" hidden="1" customWidth="1"/>
    <col min="45" max="45" width="7.44140625" style="71" hidden="1" customWidth="1"/>
    <col min="46" max="46" width="7.5546875" style="71" hidden="1" customWidth="1"/>
    <col min="47" max="16384" width="9.109375" style="66"/>
  </cols>
  <sheetData>
    <row r="1" spans="1:46" ht="17.25" customHeight="1" x14ac:dyDescent="0.2">
      <c r="A1" s="63"/>
      <c r="B1" s="63"/>
      <c r="C1" s="64"/>
      <c r="D1" s="64"/>
      <c r="E1" s="65"/>
    </row>
    <row r="2" spans="1:46" ht="15.75" customHeight="1" x14ac:dyDescent="0.2">
      <c r="A2" s="267" t="s">
        <v>256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</row>
    <row r="3" spans="1:46" ht="21.75" customHeight="1" x14ac:dyDescent="0.2">
      <c r="A3" s="268" t="s">
        <v>257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</row>
    <row r="4" spans="1:46" s="81" customFormat="1" ht="81" customHeight="1" x14ac:dyDescent="0.2">
      <c r="A4" s="72" t="s">
        <v>258</v>
      </c>
      <c r="B4" s="72" t="s">
        <v>259</v>
      </c>
      <c r="C4" s="72" t="s">
        <v>260</v>
      </c>
      <c r="D4" s="73" t="s">
        <v>261</v>
      </c>
      <c r="E4" s="73" t="s">
        <v>262</v>
      </c>
      <c r="F4" s="73" t="s">
        <v>263</v>
      </c>
      <c r="G4" s="73" t="s">
        <v>264</v>
      </c>
      <c r="H4" s="73" t="s">
        <v>265</v>
      </c>
      <c r="I4" s="73" t="s">
        <v>266</v>
      </c>
      <c r="J4" s="73" t="s">
        <v>267</v>
      </c>
      <c r="K4" s="73" t="s">
        <v>268</v>
      </c>
      <c r="L4" s="74" t="s">
        <v>269</v>
      </c>
      <c r="M4" s="75" t="s">
        <v>270</v>
      </c>
      <c r="N4" s="76" t="s">
        <v>271</v>
      </c>
      <c r="O4" s="76" t="s">
        <v>272</v>
      </c>
      <c r="P4" s="76" t="s">
        <v>273</v>
      </c>
      <c r="Q4" s="77" t="s">
        <v>274</v>
      </c>
      <c r="R4" s="76" t="s">
        <v>275</v>
      </c>
      <c r="S4" s="78" t="s">
        <v>276</v>
      </c>
      <c r="T4" s="77" t="s">
        <v>277</v>
      </c>
      <c r="U4" s="76" t="s">
        <v>278</v>
      </c>
      <c r="V4" s="76" t="s">
        <v>279</v>
      </c>
      <c r="W4" s="76" t="s">
        <v>280</v>
      </c>
      <c r="X4" s="76" t="s">
        <v>281</v>
      </c>
      <c r="Y4" s="76" t="s">
        <v>282</v>
      </c>
      <c r="Z4" s="76" t="s">
        <v>283</v>
      </c>
      <c r="AA4" s="76" t="s">
        <v>50</v>
      </c>
      <c r="AB4" s="78" t="s">
        <v>276</v>
      </c>
      <c r="AC4" s="77" t="s">
        <v>284</v>
      </c>
      <c r="AD4" s="77" t="s">
        <v>285</v>
      </c>
      <c r="AE4" s="77" t="s">
        <v>286</v>
      </c>
      <c r="AF4" s="77" t="s">
        <v>287</v>
      </c>
      <c r="AG4" s="77" t="s">
        <v>288</v>
      </c>
      <c r="AH4" s="77" t="s">
        <v>289</v>
      </c>
      <c r="AI4" s="79" t="s">
        <v>290</v>
      </c>
      <c r="AJ4" s="79" t="s">
        <v>291</v>
      </c>
      <c r="AK4" s="77" t="s">
        <v>292</v>
      </c>
      <c r="AL4" s="77" t="s">
        <v>293</v>
      </c>
      <c r="AM4" s="77" t="s">
        <v>294</v>
      </c>
      <c r="AN4" s="76" t="s">
        <v>295</v>
      </c>
      <c r="AO4" s="76" t="s">
        <v>296</v>
      </c>
      <c r="AP4" s="76" t="s">
        <v>297</v>
      </c>
      <c r="AQ4" s="76" t="s">
        <v>298</v>
      </c>
      <c r="AR4" s="76" t="s">
        <v>299</v>
      </c>
      <c r="AS4" s="80" t="s">
        <v>300</v>
      </c>
      <c r="AT4" s="80" t="s">
        <v>301</v>
      </c>
    </row>
    <row r="5" spans="1:46" s="89" customFormat="1" ht="28.5" customHeight="1" x14ac:dyDescent="0.2">
      <c r="A5" s="82" t="s">
        <v>302</v>
      </c>
      <c r="B5" s="83" t="s">
        <v>303</v>
      </c>
      <c r="C5" s="84"/>
      <c r="D5" s="85">
        <f>D6+D7+D10+D11+D9</f>
        <v>31984.732000000004</v>
      </c>
      <c r="E5" s="86">
        <f>E6+E7+E8+E9+E10+E11</f>
        <v>36537.620999999999</v>
      </c>
      <c r="F5" s="86">
        <f>F6+F7+F10+F11+F9+F8</f>
        <v>36898.436000000009</v>
      </c>
      <c r="G5" s="86">
        <f t="shared" ref="G5:I5" si="0">G6+G7+G10+G11+G9+G8</f>
        <v>30467.3</v>
      </c>
      <c r="H5" s="86">
        <f t="shared" si="0"/>
        <v>29791.599999999999</v>
      </c>
      <c r="I5" s="86">
        <f t="shared" si="0"/>
        <v>28688.6</v>
      </c>
      <c r="J5" s="86">
        <f>J6+J7+J10+J11+J9+J8</f>
        <v>31364</v>
      </c>
      <c r="K5" s="86">
        <f t="shared" ref="K5:X5" si="1">K6+K7+K10+K11+K9+K8</f>
        <v>33994.199999999997</v>
      </c>
      <c r="L5" s="86">
        <f t="shared" si="1"/>
        <v>33368.1</v>
      </c>
      <c r="M5" s="87">
        <f t="shared" si="1"/>
        <v>32505.399999999998</v>
      </c>
      <c r="N5" s="86">
        <f t="shared" si="1"/>
        <v>30618.1</v>
      </c>
      <c r="O5" s="86">
        <f t="shared" si="1"/>
        <v>34047.699999999997</v>
      </c>
      <c r="P5" s="86">
        <f t="shared" si="1"/>
        <v>38981.199999999997</v>
      </c>
      <c r="Q5" s="86">
        <f>Q6+Q7+Q10+Q11</f>
        <v>39068.6</v>
      </c>
      <c r="R5" s="86">
        <f t="shared" ref="R5:T5" si="2">R6+R7+R10+R11</f>
        <v>41154.6</v>
      </c>
      <c r="S5" s="86">
        <f t="shared" si="2"/>
        <v>41154.6</v>
      </c>
      <c r="T5" s="86">
        <f t="shared" si="2"/>
        <v>39547.53</v>
      </c>
      <c r="U5" s="87">
        <f t="shared" si="1"/>
        <v>30867.100000000002</v>
      </c>
      <c r="V5" s="87">
        <f t="shared" si="1"/>
        <v>30913.7</v>
      </c>
      <c r="W5" s="87">
        <f t="shared" si="1"/>
        <v>30100.800000000003</v>
      </c>
      <c r="X5" s="87">
        <f t="shared" si="1"/>
        <v>32695.8</v>
      </c>
      <c r="Y5" s="87">
        <f>Y6+Y7+Y10+Y11+Y9+Y8</f>
        <v>34251</v>
      </c>
      <c r="Z5" s="87">
        <f t="shared" ref="Z5:AT5" si="3">Z6+Z7+Z10+Z11+Z9+Z8</f>
        <v>34251</v>
      </c>
      <c r="AA5" s="87">
        <f>AA6+AA7+AA10+AA11+AA9+AA8</f>
        <v>36389.799999999996</v>
      </c>
      <c r="AB5" s="87">
        <f t="shared" ref="AB5:AC5" si="4">AB6+AB7+AB10+AB11+AB9+AB8</f>
        <v>36389.799999999996</v>
      </c>
      <c r="AC5" s="87">
        <f t="shared" si="4"/>
        <v>35766.300000000003</v>
      </c>
      <c r="AD5" s="87">
        <f>AB5-AA5</f>
        <v>0</v>
      </c>
      <c r="AE5" s="87">
        <f>AB5/AA5*100</f>
        <v>100</v>
      </c>
      <c r="AF5" s="87">
        <f>AC5-AB5</f>
        <v>-623.49999999999272</v>
      </c>
      <c r="AG5" s="87">
        <f>AC5/AB5*100</f>
        <v>98.286607785698209</v>
      </c>
      <c r="AH5" s="87">
        <f>AC5/U5*100</f>
        <v>115.87191540507531</v>
      </c>
      <c r="AI5" s="87">
        <f>AC5/AA5*100</f>
        <v>98.286607785698209</v>
      </c>
      <c r="AJ5" s="87">
        <f>AC5/T5*100</f>
        <v>90.438770765203301</v>
      </c>
      <c r="AK5" s="87">
        <f>AA5-U5</f>
        <v>5522.6999999999935</v>
      </c>
      <c r="AL5" s="87">
        <f>AA5/U5*100</f>
        <v>117.89186544897316</v>
      </c>
      <c r="AM5" s="87">
        <f>AC5/$AC$48*100</f>
        <v>26.489513452021395</v>
      </c>
      <c r="AN5" s="87">
        <f t="shared" si="3"/>
        <v>33703.9</v>
      </c>
      <c r="AO5" s="87">
        <f t="shared" si="3"/>
        <v>34260.000000000007</v>
      </c>
      <c r="AP5" s="87">
        <f>AO5-AN5</f>
        <v>556.10000000000582</v>
      </c>
      <c r="AQ5" s="87">
        <f>AO5/AN5*100</f>
        <v>101.64995742332492</v>
      </c>
      <c r="AR5" s="87">
        <f>AO5/$AO$48*100</f>
        <v>30.651190171578673</v>
      </c>
      <c r="AS5" s="88">
        <f t="shared" si="3"/>
        <v>32606.6</v>
      </c>
      <c r="AT5" s="88">
        <f t="shared" si="3"/>
        <v>34716.6</v>
      </c>
    </row>
    <row r="6" spans="1:46" ht="29.25" customHeight="1" x14ac:dyDescent="0.2">
      <c r="A6" s="90" t="s">
        <v>304</v>
      </c>
      <c r="B6" s="91" t="s">
        <v>303</v>
      </c>
      <c r="C6" s="92" t="s">
        <v>305</v>
      </c>
      <c r="D6" s="93">
        <f>729.321+158.884+2663.207+592.593</f>
        <v>4144.0050000000001</v>
      </c>
      <c r="E6" s="94">
        <f>855.695+189.768+2456.492+552.379</f>
        <v>4054.3339999999998</v>
      </c>
      <c r="F6" s="95">
        <f>970.199+211.708+2672.541+617.079</f>
        <v>4471.527</v>
      </c>
      <c r="G6" s="94">
        <v>4895.6000000000004</v>
      </c>
      <c r="H6" s="94">
        <v>4351.3</v>
      </c>
      <c r="I6" s="94">
        <v>4029.6</v>
      </c>
      <c r="J6" s="94">
        <v>4221.5</v>
      </c>
      <c r="K6" s="96">
        <v>4692.2</v>
      </c>
      <c r="L6" s="96">
        <v>5160.2</v>
      </c>
      <c r="M6" s="97">
        <v>4646.1000000000004</v>
      </c>
      <c r="N6" s="94">
        <v>5193.3</v>
      </c>
      <c r="O6" s="94">
        <v>5193.3</v>
      </c>
      <c r="P6" s="94">
        <v>5241.8999999999996</v>
      </c>
      <c r="Q6" s="98">
        <v>5241.8999999999996</v>
      </c>
      <c r="R6" s="94">
        <v>5279.1</v>
      </c>
      <c r="S6" s="94">
        <v>5279.1</v>
      </c>
      <c r="T6" s="94">
        <v>5234.8999999999996</v>
      </c>
      <c r="U6" s="99">
        <v>5116</v>
      </c>
      <c r="V6" s="99">
        <v>5116</v>
      </c>
      <c r="W6" s="99">
        <v>5116</v>
      </c>
      <c r="X6" s="99">
        <v>5167.6000000000004</v>
      </c>
      <c r="Y6" s="99">
        <v>5422.6</v>
      </c>
      <c r="Z6" s="97">
        <v>5422.6</v>
      </c>
      <c r="AA6" s="97">
        <v>5716.1</v>
      </c>
      <c r="AB6" s="97">
        <v>5716.1</v>
      </c>
      <c r="AC6" s="97">
        <v>5711</v>
      </c>
      <c r="AD6" s="97">
        <f t="shared" ref="AD6:AD48" si="5">AB6-AA6</f>
        <v>0</v>
      </c>
      <c r="AE6" s="97">
        <f t="shared" ref="AE6:AE48" si="6">AB6/AA6*100</f>
        <v>100</v>
      </c>
      <c r="AF6" s="97">
        <f t="shared" ref="AF6:AF48" si="7">AC6-AB6</f>
        <v>-5.1000000000003638</v>
      </c>
      <c r="AG6" s="97">
        <f t="shared" ref="AG6:AG48" si="8">AC6/AB6*100</f>
        <v>99.910778327880891</v>
      </c>
      <c r="AH6" s="97">
        <f t="shared" ref="AH6:AH48" si="9">AC6/U6*100</f>
        <v>111.63017982799062</v>
      </c>
      <c r="AI6" s="97">
        <f t="shared" ref="AI6:AI48" si="10">AC6/AA6*100</f>
        <v>99.910778327880891</v>
      </c>
      <c r="AJ6" s="97">
        <f t="shared" ref="AJ6:AJ48" si="11">AC6/T6*100</f>
        <v>109.0947296032398</v>
      </c>
      <c r="AK6" s="97">
        <f t="shared" ref="AK6:AK48" si="12">AA6-U6</f>
        <v>600.10000000000036</v>
      </c>
      <c r="AL6" s="97">
        <f t="shared" ref="AL6:AL48" si="13">AA6/U6*100</f>
        <v>111.7298670836591</v>
      </c>
      <c r="AM6" s="97">
        <f t="shared" ref="AM6:AM48" si="14">AC6/$AC$48*100</f>
        <v>4.2297249456749562</v>
      </c>
      <c r="AN6" s="99">
        <v>5154.3999999999996</v>
      </c>
      <c r="AO6" s="99">
        <v>5159.5</v>
      </c>
      <c r="AP6" s="97">
        <f t="shared" ref="AP6:AP55" si="15">AO6-AN6</f>
        <v>5.1000000000003638</v>
      </c>
      <c r="AQ6" s="97">
        <f t="shared" ref="AQ6:AQ55" si="16">AO6/AN6*100</f>
        <v>100.09894459102904</v>
      </c>
      <c r="AR6" s="97">
        <f t="shared" ref="AR6:AR55" si="17">AO6/$AO$48*100</f>
        <v>4.6160191386532432</v>
      </c>
      <c r="AS6" s="100">
        <v>5154.3999999999996</v>
      </c>
      <c r="AT6" s="101">
        <v>5154.3999999999996</v>
      </c>
    </row>
    <row r="7" spans="1:46" ht="24.75" customHeight="1" x14ac:dyDescent="0.2">
      <c r="A7" s="90" t="s">
        <v>306</v>
      </c>
      <c r="B7" s="91" t="s">
        <v>303</v>
      </c>
      <c r="C7" s="92" t="s">
        <v>307</v>
      </c>
      <c r="D7" s="93">
        <f>16200.708+14.7+4548.762+426.871+140.769+94.166+41.725</f>
        <v>21467.701000000001</v>
      </c>
      <c r="E7" s="94">
        <f>14721.503+4134.824+13.8+380.896+22.334+118.442+19.744+30.003</f>
        <v>19441.545999999998</v>
      </c>
      <c r="F7" s="95">
        <f>14742.186+4151.21+11.4+422.758+24.154+60.491+5.4+25.292</f>
        <v>19442.891000000007</v>
      </c>
      <c r="G7" s="94">
        <v>19201.5</v>
      </c>
      <c r="H7" s="94">
        <v>20219.400000000001</v>
      </c>
      <c r="I7" s="94">
        <v>20065.8</v>
      </c>
      <c r="J7" s="94">
        <v>22211.1</v>
      </c>
      <c r="K7" s="96">
        <v>21967.4</v>
      </c>
      <c r="L7" s="96">
        <v>21697</v>
      </c>
      <c r="M7" s="97">
        <v>21619</v>
      </c>
      <c r="N7" s="94">
        <v>22275.1</v>
      </c>
      <c r="O7" s="94">
        <v>21576.2</v>
      </c>
      <c r="P7" s="94">
        <v>23271.8</v>
      </c>
      <c r="Q7" s="98">
        <v>23271.8</v>
      </c>
      <c r="R7" s="94">
        <v>24909.599999999999</v>
      </c>
      <c r="S7" s="94">
        <v>24909.599999999999</v>
      </c>
      <c r="T7" s="94">
        <v>24789.4</v>
      </c>
      <c r="U7" s="99">
        <v>22619.7</v>
      </c>
      <c r="V7" s="99">
        <v>22619.7</v>
      </c>
      <c r="W7" s="99">
        <v>21697.4</v>
      </c>
      <c r="X7" s="99">
        <v>23012.5</v>
      </c>
      <c r="Y7" s="99">
        <v>24411.1</v>
      </c>
      <c r="Z7" s="97">
        <v>24411.1</v>
      </c>
      <c r="AA7" s="97">
        <v>26213.5</v>
      </c>
      <c r="AB7" s="97">
        <v>26213.5</v>
      </c>
      <c r="AC7" s="97">
        <v>25963</v>
      </c>
      <c r="AD7" s="97">
        <f t="shared" si="5"/>
        <v>0</v>
      </c>
      <c r="AE7" s="97">
        <f t="shared" si="6"/>
        <v>100</v>
      </c>
      <c r="AF7" s="97">
        <f t="shared" si="7"/>
        <v>-250.5</v>
      </c>
      <c r="AG7" s="97">
        <f t="shared" si="8"/>
        <v>99.044385526541674</v>
      </c>
      <c r="AH7" s="97">
        <f t="shared" si="9"/>
        <v>114.7804789630278</v>
      </c>
      <c r="AI7" s="97">
        <f t="shared" si="10"/>
        <v>99.044385526541674</v>
      </c>
      <c r="AJ7" s="97">
        <f t="shared" si="11"/>
        <v>104.73428158809813</v>
      </c>
      <c r="AK7" s="97">
        <f t="shared" si="12"/>
        <v>3593.7999999999993</v>
      </c>
      <c r="AL7" s="97">
        <f t="shared" si="13"/>
        <v>115.88792070628699</v>
      </c>
      <c r="AM7" s="97">
        <f t="shared" si="14"/>
        <v>19.228917661453142</v>
      </c>
      <c r="AN7" s="99">
        <v>23146.3</v>
      </c>
      <c r="AO7" s="99">
        <v>23478.2</v>
      </c>
      <c r="AP7" s="97">
        <f t="shared" si="15"/>
        <v>331.90000000000146</v>
      </c>
      <c r="AQ7" s="97">
        <f t="shared" si="16"/>
        <v>101.43392248437115</v>
      </c>
      <c r="AR7" s="97">
        <f t="shared" si="17"/>
        <v>21.005101374382903</v>
      </c>
      <c r="AS7" s="100">
        <v>23146.3</v>
      </c>
      <c r="AT7" s="101">
        <v>23146.3</v>
      </c>
    </row>
    <row r="8" spans="1:46" ht="49.5" hidden="1" customHeight="1" x14ac:dyDescent="0.2">
      <c r="A8" s="90" t="s">
        <v>308</v>
      </c>
      <c r="B8" s="91" t="s">
        <v>303</v>
      </c>
      <c r="C8" s="92" t="s">
        <v>309</v>
      </c>
      <c r="D8" s="93">
        <v>0</v>
      </c>
      <c r="E8" s="94">
        <f>308.083+95.241+38.298+9.36+21.65+14.608+80.65+26.107</f>
        <v>593.99699999999996</v>
      </c>
      <c r="F8" s="95">
        <f>335.851+109.649+137.48+4.542+6.475</f>
        <v>593.99700000000007</v>
      </c>
      <c r="G8" s="94">
        <v>267.8</v>
      </c>
      <c r="H8" s="94">
        <v>0</v>
      </c>
      <c r="I8" s="94">
        <v>0</v>
      </c>
      <c r="J8" s="94"/>
      <c r="K8" s="96"/>
      <c r="L8" s="96"/>
      <c r="M8" s="97"/>
      <c r="N8" s="94"/>
      <c r="O8" s="94"/>
      <c r="P8" s="94"/>
      <c r="Q8" s="98"/>
      <c r="R8" s="94"/>
      <c r="S8" s="94"/>
      <c r="T8" s="94"/>
      <c r="U8" s="99"/>
      <c r="V8" s="99"/>
      <c r="W8" s="99"/>
      <c r="X8" s="99"/>
      <c r="Y8" s="99"/>
      <c r="Z8" s="97"/>
      <c r="AA8" s="97"/>
      <c r="AB8" s="97"/>
      <c r="AC8" s="97"/>
      <c r="AD8" s="97">
        <f t="shared" si="5"/>
        <v>0</v>
      </c>
      <c r="AE8" s="97" t="e">
        <f t="shared" si="6"/>
        <v>#DIV/0!</v>
      </c>
      <c r="AF8" s="97">
        <f t="shared" si="7"/>
        <v>0</v>
      </c>
      <c r="AG8" s="97" t="e">
        <f t="shared" si="8"/>
        <v>#DIV/0!</v>
      </c>
      <c r="AH8" s="97" t="e">
        <f t="shared" si="9"/>
        <v>#DIV/0!</v>
      </c>
      <c r="AI8" s="97" t="e">
        <f t="shared" si="10"/>
        <v>#DIV/0!</v>
      </c>
      <c r="AJ8" s="97" t="e">
        <f t="shared" si="11"/>
        <v>#DIV/0!</v>
      </c>
      <c r="AK8" s="97">
        <f t="shared" si="12"/>
        <v>0</v>
      </c>
      <c r="AL8" s="97" t="e">
        <f t="shared" si="13"/>
        <v>#DIV/0!</v>
      </c>
      <c r="AM8" s="97">
        <f t="shared" si="14"/>
        <v>0</v>
      </c>
      <c r="AN8" s="99"/>
      <c r="AO8" s="99"/>
      <c r="AP8" s="97">
        <f t="shared" si="15"/>
        <v>0</v>
      </c>
      <c r="AQ8" s="97" t="e">
        <f t="shared" si="16"/>
        <v>#DIV/0!</v>
      </c>
      <c r="AR8" s="97">
        <f t="shared" si="17"/>
        <v>0</v>
      </c>
      <c r="AS8" s="100"/>
      <c r="AT8" s="101"/>
    </row>
    <row r="9" spans="1:46" ht="25.5" hidden="1" customHeight="1" x14ac:dyDescent="0.2">
      <c r="A9" s="102" t="s">
        <v>310</v>
      </c>
      <c r="B9" s="92" t="s">
        <v>303</v>
      </c>
      <c r="C9" s="92" t="s">
        <v>311</v>
      </c>
      <c r="D9" s="93">
        <v>0</v>
      </c>
      <c r="E9" s="94">
        <v>0</v>
      </c>
      <c r="F9" s="95">
        <v>1000</v>
      </c>
      <c r="G9" s="94">
        <v>0</v>
      </c>
      <c r="H9" s="94">
        <v>0</v>
      </c>
      <c r="I9" s="94"/>
      <c r="J9" s="94"/>
      <c r="K9" s="96">
        <v>761.2</v>
      </c>
      <c r="L9" s="96">
        <v>0</v>
      </c>
      <c r="M9" s="97"/>
      <c r="N9" s="94"/>
      <c r="O9" s="94"/>
      <c r="P9" s="94"/>
      <c r="Q9" s="98"/>
      <c r="R9" s="94"/>
      <c r="S9" s="94"/>
      <c r="T9" s="94"/>
      <c r="U9" s="99"/>
      <c r="V9" s="99"/>
      <c r="W9" s="99"/>
      <c r="X9" s="99"/>
      <c r="Y9" s="99"/>
      <c r="Z9" s="97"/>
      <c r="AA9" s="97"/>
      <c r="AB9" s="97"/>
      <c r="AC9" s="97"/>
      <c r="AD9" s="97">
        <f t="shared" si="5"/>
        <v>0</v>
      </c>
      <c r="AE9" s="97" t="e">
        <f t="shared" si="6"/>
        <v>#DIV/0!</v>
      </c>
      <c r="AF9" s="97">
        <f t="shared" si="7"/>
        <v>0</v>
      </c>
      <c r="AG9" s="97" t="e">
        <f t="shared" si="8"/>
        <v>#DIV/0!</v>
      </c>
      <c r="AH9" s="97" t="e">
        <f t="shared" si="9"/>
        <v>#DIV/0!</v>
      </c>
      <c r="AI9" s="97" t="e">
        <f t="shared" si="10"/>
        <v>#DIV/0!</v>
      </c>
      <c r="AJ9" s="97" t="e">
        <f t="shared" si="11"/>
        <v>#DIV/0!</v>
      </c>
      <c r="AK9" s="97">
        <f t="shared" si="12"/>
        <v>0</v>
      </c>
      <c r="AL9" s="97" t="e">
        <f t="shared" si="13"/>
        <v>#DIV/0!</v>
      </c>
      <c r="AM9" s="97">
        <f t="shared" si="14"/>
        <v>0</v>
      </c>
      <c r="AN9" s="99">
        <v>1097.3</v>
      </c>
      <c r="AO9" s="99">
        <v>1097.3</v>
      </c>
      <c r="AP9" s="97">
        <f t="shared" si="15"/>
        <v>0</v>
      </c>
      <c r="AQ9" s="97">
        <f t="shared" si="16"/>
        <v>100</v>
      </c>
      <c r="AR9" s="97">
        <f t="shared" si="17"/>
        <v>0.98171485625432775</v>
      </c>
      <c r="AS9" s="100"/>
      <c r="AT9" s="101">
        <v>0</v>
      </c>
    </row>
    <row r="10" spans="1:46" ht="17.25" customHeight="1" x14ac:dyDescent="0.2">
      <c r="A10" s="90" t="s">
        <v>312</v>
      </c>
      <c r="B10" s="91" t="s">
        <v>303</v>
      </c>
      <c r="C10" s="92" t="s">
        <v>313</v>
      </c>
      <c r="D10" s="93">
        <v>0</v>
      </c>
      <c r="E10" s="94">
        <v>0</v>
      </c>
      <c r="F10" s="95">
        <v>0</v>
      </c>
      <c r="G10" s="94">
        <v>0</v>
      </c>
      <c r="H10" s="94">
        <v>0</v>
      </c>
      <c r="I10" s="94">
        <v>0</v>
      </c>
      <c r="J10" s="94">
        <v>0</v>
      </c>
      <c r="K10" s="96">
        <v>0</v>
      </c>
      <c r="L10" s="96">
        <v>0</v>
      </c>
      <c r="M10" s="97">
        <v>0</v>
      </c>
      <c r="N10" s="94">
        <v>177</v>
      </c>
      <c r="O10" s="94">
        <v>0</v>
      </c>
      <c r="P10" s="94">
        <v>0</v>
      </c>
      <c r="Q10" s="98">
        <v>0</v>
      </c>
      <c r="R10" s="94">
        <v>0</v>
      </c>
      <c r="S10" s="94">
        <v>0</v>
      </c>
      <c r="T10" s="94">
        <v>0</v>
      </c>
      <c r="U10" s="99">
        <v>177</v>
      </c>
      <c r="V10" s="99">
        <v>177</v>
      </c>
      <c r="W10" s="99">
        <v>177</v>
      </c>
      <c r="X10" s="99">
        <v>177</v>
      </c>
      <c r="Y10" s="99">
        <v>0</v>
      </c>
      <c r="Z10" s="97">
        <v>0</v>
      </c>
      <c r="AA10" s="97">
        <v>0</v>
      </c>
      <c r="AB10" s="97">
        <v>0</v>
      </c>
      <c r="AC10" s="97">
        <v>0</v>
      </c>
      <c r="AD10" s="97">
        <f t="shared" si="5"/>
        <v>0</v>
      </c>
      <c r="AE10" s="97"/>
      <c r="AF10" s="97">
        <f t="shared" si="7"/>
        <v>0</v>
      </c>
      <c r="AG10" s="97"/>
      <c r="AH10" s="97">
        <f t="shared" si="9"/>
        <v>0</v>
      </c>
      <c r="AI10" s="97"/>
      <c r="AJ10" s="97"/>
      <c r="AK10" s="97">
        <f t="shared" si="12"/>
        <v>-177</v>
      </c>
      <c r="AL10" s="97">
        <f t="shared" si="13"/>
        <v>0</v>
      </c>
      <c r="AM10" s="97">
        <f t="shared" si="14"/>
        <v>0</v>
      </c>
      <c r="AN10" s="99">
        <v>141.4</v>
      </c>
      <c r="AO10" s="99">
        <v>141.4</v>
      </c>
      <c r="AP10" s="97">
        <f t="shared" si="15"/>
        <v>0</v>
      </c>
      <c r="AQ10" s="97">
        <f t="shared" si="16"/>
        <v>100</v>
      </c>
      <c r="AR10" s="97">
        <f t="shared" si="17"/>
        <v>0.12650549592122662</v>
      </c>
      <c r="AS10" s="100">
        <v>141.4</v>
      </c>
      <c r="AT10" s="101">
        <v>141.4</v>
      </c>
    </row>
    <row r="11" spans="1:46" ht="39" customHeight="1" x14ac:dyDescent="0.2">
      <c r="A11" s="103" t="s">
        <v>314</v>
      </c>
      <c r="B11" s="91" t="s">
        <v>303</v>
      </c>
      <c r="C11" s="92" t="s">
        <v>315</v>
      </c>
      <c r="D11" s="93">
        <f>40.455+13.544+4+2127.806+244+467.311+529.698+433.21+679.94+556.27+1276.792</f>
        <v>6373.0259999999998</v>
      </c>
      <c r="E11" s="97">
        <f>2690.058+111.146+4500+270+489.925+128.018+106.112+957.168+567.146+253.818+167.501+603.78+645.559+957.513</f>
        <v>12447.744000000001</v>
      </c>
      <c r="F11" s="95">
        <f>1149.178+153.156+745.044+4473.942+614.135+73.555+52.228+959.178+586.532+169.394+274.822+699.57+456.795+10.83+959.662+12</f>
        <v>11390.021000000001</v>
      </c>
      <c r="G11" s="94">
        <v>6102.4</v>
      </c>
      <c r="H11" s="94">
        <v>5220.8999999999996</v>
      </c>
      <c r="I11" s="94">
        <v>4593.2</v>
      </c>
      <c r="J11" s="94">
        <v>4931.3999999999996</v>
      </c>
      <c r="K11" s="96">
        <v>6573.4</v>
      </c>
      <c r="L11" s="96">
        <v>6510.9</v>
      </c>
      <c r="M11" s="97">
        <v>6240.3</v>
      </c>
      <c r="N11" s="94">
        <v>2972.7</v>
      </c>
      <c r="O11" s="94">
        <v>7278.2</v>
      </c>
      <c r="P11" s="94">
        <v>10467.5</v>
      </c>
      <c r="Q11" s="98">
        <v>10554.9</v>
      </c>
      <c r="R11" s="94">
        <v>10965.9</v>
      </c>
      <c r="S11" s="94">
        <v>10965.9</v>
      </c>
      <c r="T11" s="94">
        <v>9523.23</v>
      </c>
      <c r="U11" s="99">
        <v>2954.4</v>
      </c>
      <c r="V11" s="99">
        <v>3001</v>
      </c>
      <c r="W11" s="99">
        <v>3110.4</v>
      </c>
      <c r="X11" s="99">
        <v>4338.7</v>
      </c>
      <c r="Y11" s="99">
        <v>4417.3</v>
      </c>
      <c r="Z11" s="97">
        <v>4417.3</v>
      </c>
      <c r="AA11" s="97">
        <v>4460.2</v>
      </c>
      <c r="AB11" s="97">
        <v>4460.2</v>
      </c>
      <c r="AC11" s="97">
        <v>4092.3</v>
      </c>
      <c r="AD11" s="97">
        <f t="shared" si="5"/>
        <v>0</v>
      </c>
      <c r="AE11" s="97">
        <f t="shared" si="6"/>
        <v>100</v>
      </c>
      <c r="AF11" s="97">
        <f t="shared" si="7"/>
        <v>-367.89999999999964</v>
      </c>
      <c r="AG11" s="97">
        <f t="shared" si="8"/>
        <v>91.751490964530745</v>
      </c>
      <c r="AH11" s="97">
        <f t="shared" si="9"/>
        <v>138.51543460601135</v>
      </c>
      <c r="AI11" s="97">
        <f t="shared" si="10"/>
        <v>91.751490964530745</v>
      </c>
      <c r="AJ11" s="97">
        <f t="shared" si="11"/>
        <v>42.971764831890027</v>
      </c>
      <c r="AK11" s="97">
        <f t="shared" si="12"/>
        <v>1505.7999999999997</v>
      </c>
      <c r="AL11" s="97">
        <f t="shared" si="13"/>
        <v>150.96804765773084</v>
      </c>
      <c r="AM11" s="97">
        <f t="shared" si="14"/>
        <v>3.0308708448932977</v>
      </c>
      <c r="AN11" s="99">
        <v>4164.5</v>
      </c>
      <c r="AO11" s="99">
        <v>4383.6000000000004</v>
      </c>
      <c r="AP11" s="97">
        <f t="shared" si="15"/>
        <v>219.10000000000036</v>
      </c>
      <c r="AQ11" s="97">
        <f t="shared" si="16"/>
        <v>105.26113579061112</v>
      </c>
      <c r="AR11" s="97">
        <f t="shared" si="17"/>
        <v>3.9218493063669659</v>
      </c>
      <c r="AS11" s="100">
        <v>4164.5</v>
      </c>
      <c r="AT11" s="101">
        <v>6274.5</v>
      </c>
    </row>
    <row r="12" spans="1:46" s="89" customFormat="1" ht="21" customHeight="1" x14ac:dyDescent="0.2">
      <c r="A12" s="104" t="s">
        <v>316</v>
      </c>
      <c r="B12" s="83" t="s">
        <v>305</v>
      </c>
      <c r="C12" s="84"/>
      <c r="D12" s="85">
        <f>D13</f>
        <v>784.399</v>
      </c>
      <c r="E12" s="86">
        <f>E13</f>
        <v>835.39800000000002</v>
      </c>
      <c r="F12" s="86">
        <f>F13</f>
        <v>579.99799999999993</v>
      </c>
      <c r="G12" s="86">
        <f t="shared" ref="G12:AT12" si="18">G13</f>
        <v>780</v>
      </c>
      <c r="H12" s="86">
        <f t="shared" si="18"/>
        <v>790.9</v>
      </c>
      <c r="I12" s="86">
        <f t="shared" si="18"/>
        <v>830.4</v>
      </c>
      <c r="J12" s="86">
        <f t="shared" si="18"/>
        <v>463.8</v>
      </c>
      <c r="K12" s="86">
        <f t="shared" si="18"/>
        <v>727.2</v>
      </c>
      <c r="L12" s="86">
        <f t="shared" si="18"/>
        <v>520.4</v>
      </c>
      <c r="M12" s="87">
        <f t="shared" si="18"/>
        <v>601.70000000000005</v>
      </c>
      <c r="N12" s="86">
        <f t="shared" si="18"/>
        <v>466.4</v>
      </c>
      <c r="O12" s="86">
        <f t="shared" si="18"/>
        <v>466.4</v>
      </c>
      <c r="P12" s="86">
        <f t="shared" si="18"/>
        <v>556.70000000000005</v>
      </c>
      <c r="Q12" s="86">
        <f t="shared" si="18"/>
        <v>556.70000000000005</v>
      </c>
      <c r="R12" s="86">
        <f t="shared" si="18"/>
        <v>621.29999999999995</v>
      </c>
      <c r="S12" s="86">
        <f t="shared" si="18"/>
        <v>621.29999999999995</v>
      </c>
      <c r="T12" s="86">
        <f t="shared" si="18"/>
        <v>621.29999999999995</v>
      </c>
      <c r="U12" s="87">
        <f t="shared" si="18"/>
        <v>493.8</v>
      </c>
      <c r="V12" s="87">
        <f t="shared" si="18"/>
        <v>493.8</v>
      </c>
      <c r="W12" s="87">
        <f t="shared" si="18"/>
        <v>493.8</v>
      </c>
      <c r="X12" s="87">
        <f t="shared" si="18"/>
        <v>504.9</v>
      </c>
      <c r="Y12" s="87">
        <f t="shared" si="18"/>
        <v>534.29999999999995</v>
      </c>
      <c r="Z12" s="87">
        <f t="shared" si="18"/>
        <v>534.29999999999995</v>
      </c>
      <c r="AA12" s="87">
        <f t="shared" si="18"/>
        <v>599.29999999999995</v>
      </c>
      <c r="AB12" s="87">
        <f t="shared" si="18"/>
        <v>599.29999999999995</v>
      </c>
      <c r="AC12" s="87">
        <f t="shared" si="18"/>
        <v>599.29999999999995</v>
      </c>
      <c r="AD12" s="87">
        <f t="shared" si="5"/>
        <v>0</v>
      </c>
      <c r="AE12" s="87">
        <f t="shared" si="6"/>
        <v>100</v>
      </c>
      <c r="AF12" s="87">
        <f t="shared" si="7"/>
        <v>0</v>
      </c>
      <c r="AG12" s="87">
        <f t="shared" si="8"/>
        <v>100</v>
      </c>
      <c r="AH12" s="87">
        <f t="shared" si="9"/>
        <v>121.36492507087888</v>
      </c>
      <c r="AI12" s="87">
        <f t="shared" si="10"/>
        <v>100</v>
      </c>
      <c r="AJ12" s="87">
        <f t="shared" si="11"/>
        <v>96.45903750201191</v>
      </c>
      <c r="AK12" s="87">
        <f t="shared" si="12"/>
        <v>105.49999999999994</v>
      </c>
      <c r="AL12" s="87">
        <f t="shared" si="13"/>
        <v>121.36492507087888</v>
      </c>
      <c r="AM12" s="87">
        <f t="shared" si="14"/>
        <v>0.44385819645298569</v>
      </c>
      <c r="AN12" s="87">
        <f t="shared" si="18"/>
        <v>594.70000000000005</v>
      </c>
      <c r="AO12" s="87">
        <f t="shared" si="18"/>
        <v>594.70000000000005</v>
      </c>
      <c r="AP12" s="87">
        <f t="shared" si="15"/>
        <v>0</v>
      </c>
      <c r="AQ12" s="87">
        <f t="shared" si="16"/>
        <v>100</v>
      </c>
      <c r="AR12" s="87">
        <f t="shared" si="17"/>
        <v>0.53205670738580946</v>
      </c>
      <c r="AS12" s="88">
        <f t="shared" si="18"/>
        <v>622.5</v>
      </c>
      <c r="AT12" s="88">
        <f t="shared" si="18"/>
        <v>645.1</v>
      </c>
    </row>
    <row r="13" spans="1:46" ht="28.5" customHeight="1" x14ac:dyDescent="0.2">
      <c r="A13" s="103" t="s">
        <v>317</v>
      </c>
      <c r="B13" s="91" t="s">
        <v>305</v>
      </c>
      <c r="C13" s="92" t="s">
        <v>318</v>
      </c>
      <c r="D13" s="93">
        <f>591.796+168.203+2.4+2+20</f>
        <v>784.399</v>
      </c>
      <c r="E13" s="94">
        <f>612.785+165.416+36.879+19.612+0.706</f>
        <v>835.39800000000002</v>
      </c>
      <c r="F13" s="95">
        <f>437.909+131.861+10.228</f>
        <v>579.99799999999993</v>
      </c>
      <c r="G13" s="94">
        <v>780</v>
      </c>
      <c r="H13" s="94">
        <v>790.9</v>
      </c>
      <c r="I13" s="94">
        <v>830.4</v>
      </c>
      <c r="J13" s="94">
        <v>463.8</v>
      </c>
      <c r="K13" s="96">
        <v>727.2</v>
      </c>
      <c r="L13" s="96">
        <v>520.4</v>
      </c>
      <c r="M13" s="97">
        <v>601.70000000000005</v>
      </c>
      <c r="N13" s="94">
        <v>466.4</v>
      </c>
      <c r="O13" s="94">
        <v>466.4</v>
      </c>
      <c r="P13" s="94">
        <v>556.70000000000005</v>
      </c>
      <c r="Q13" s="98">
        <v>556.70000000000005</v>
      </c>
      <c r="R13" s="94">
        <v>621.29999999999995</v>
      </c>
      <c r="S13" s="94">
        <v>621.29999999999995</v>
      </c>
      <c r="T13" s="94">
        <v>621.29999999999995</v>
      </c>
      <c r="U13" s="99">
        <v>493.8</v>
      </c>
      <c r="V13" s="99">
        <v>493.8</v>
      </c>
      <c r="W13" s="99">
        <v>493.8</v>
      </c>
      <c r="X13" s="99">
        <v>504.9</v>
      </c>
      <c r="Y13" s="99">
        <v>534.29999999999995</v>
      </c>
      <c r="Z13" s="97">
        <v>534.29999999999995</v>
      </c>
      <c r="AA13" s="97">
        <v>599.29999999999995</v>
      </c>
      <c r="AB13" s="97">
        <v>599.29999999999995</v>
      </c>
      <c r="AC13" s="97">
        <v>599.29999999999995</v>
      </c>
      <c r="AD13" s="97">
        <f t="shared" si="5"/>
        <v>0</v>
      </c>
      <c r="AE13" s="97">
        <f t="shared" si="6"/>
        <v>100</v>
      </c>
      <c r="AF13" s="97">
        <f t="shared" si="7"/>
        <v>0</v>
      </c>
      <c r="AG13" s="97">
        <f t="shared" si="8"/>
        <v>100</v>
      </c>
      <c r="AH13" s="97">
        <f t="shared" si="9"/>
        <v>121.36492507087888</v>
      </c>
      <c r="AI13" s="97">
        <f t="shared" si="10"/>
        <v>100</v>
      </c>
      <c r="AJ13" s="97">
        <f t="shared" si="11"/>
        <v>96.45903750201191</v>
      </c>
      <c r="AK13" s="97">
        <f t="shared" si="12"/>
        <v>105.49999999999994</v>
      </c>
      <c r="AL13" s="97">
        <f t="shared" si="13"/>
        <v>121.36492507087888</v>
      </c>
      <c r="AM13" s="97">
        <f t="shared" si="14"/>
        <v>0.44385819645298569</v>
      </c>
      <c r="AN13" s="99">
        <v>594.70000000000005</v>
      </c>
      <c r="AO13" s="99">
        <v>594.70000000000005</v>
      </c>
      <c r="AP13" s="97">
        <f t="shared" si="15"/>
        <v>0</v>
      </c>
      <c r="AQ13" s="97">
        <f t="shared" si="16"/>
        <v>100</v>
      </c>
      <c r="AR13" s="97">
        <f t="shared" si="17"/>
        <v>0.53205670738580946</v>
      </c>
      <c r="AS13" s="100">
        <v>622.5</v>
      </c>
      <c r="AT13" s="101">
        <v>645.1</v>
      </c>
    </row>
    <row r="14" spans="1:46" s="89" customFormat="1" ht="38.25" customHeight="1" x14ac:dyDescent="0.2">
      <c r="A14" s="82" t="s">
        <v>319</v>
      </c>
      <c r="B14" s="83" t="s">
        <v>318</v>
      </c>
      <c r="C14" s="84"/>
      <c r="D14" s="85">
        <f>D16+D15</f>
        <v>1199.7349999999999</v>
      </c>
      <c r="E14" s="86">
        <f t="shared" ref="E14:P14" si="19">E16+E15+E18</f>
        <v>1055.999</v>
      </c>
      <c r="F14" s="86">
        <f t="shared" si="19"/>
        <v>1570.0400000000002</v>
      </c>
      <c r="G14" s="86">
        <f t="shared" si="19"/>
        <v>1480.4</v>
      </c>
      <c r="H14" s="86">
        <f t="shared" si="19"/>
        <v>1094.5</v>
      </c>
      <c r="I14" s="86">
        <f t="shared" si="19"/>
        <v>1448.5</v>
      </c>
      <c r="J14" s="86">
        <f t="shared" si="19"/>
        <v>1242</v>
      </c>
      <c r="K14" s="86">
        <f t="shared" si="19"/>
        <v>942.4</v>
      </c>
      <c r="L14" s="86">
        <f t="shared" si="19"/>
        <v>1201.4000000000001</v>
      </c>
      <c r="M14" s="87">
        <f t="shared" si="19"/>
        <v>4055.9</v>
      </c>
      <c r="N14" s="86">
        <f t="shared" si="19"/>
        <v>916.1</v>
      </c>
      <c r="O14" s="86">
        <f t="shared" si="19"/>
        <v>989.9</v>
      </c>
      <c r="P14" s="86">
        <f t="shared" si="19"/>
        <v>1019.9</v>
      </c>
      <c r="Q14" s="86">
        <f>Q16+Q15+Q18+Q17</f>
        <v>1054.5</v>
      </c>
      <c r="R14" s="86">
        <f t="shared" ref="R14:T14" si="20">R16+R15+R18+R17</f>
        <v>1106.5</v>
      </c>
      <c r="S14" s="86">
        <f t="shared" si="20"/>
        <v>1106.5</v>
      </c>
      <c r="T14" s="86">
        <f t="shared" si="20"/>
        <v>1054.5</v>
      </c>
      <c r="U14" s="87">
        <f>U16+U15+U18+U17</f>
        <v>904.9</v>
      </c>
      <c r="V14" s="87">
        <f t="shared" ref="V14:AT14" si="21">V16+V15+V18+V17</f>
        <v>956.2</v>
      </c>
      <c r="W14" s="87">
        <f t="shared" si="21"/>
        <v>956.2</v>
      </c>
      <c r="X14" s="87">
        <f>X16+X15+X18+X17</f>
        <v>1027.5</v>
      </c>
      <c r="Y14" s="87">
        <f t="shared" si="21"/>
        <v>1027.5</v>
      </c>
      <c r="Z14" s="87">
        <f t="shared" si="21"/>
        <v>1027.5</v>
      </c>
      <c r="AA14" s="87">
        <f t="shared" si="21"/>
        <v>1027.6000000000001</v>
      </c>
      <c r="AB14" s="87">
        <f t="shared" si="21"/>
        <v>1027.6000000000001</v>
      </c>
      <c r="AC14" s="87">
        <f t="shared" si="21"/>
        <v>1024.8</v>
      </c>
      <c r="AD14" s="87">
        <f t="shared" si="5"/>
        <v>0</v>
      </c>
      <c r="AE14" s="87">
        <f t="shared" si="6"/>
        <v>100</v>
      </c>
      <c r="AF14" s="87">
        <f t="shared" si="7"/>
        <v>-2.8000000000001819</v>
      </c>
      <c r="AG14" s="87">
        <f t="shared" si="8"/>
        <v>99.727520435967293</v>
      </c>
      <c r="AH14" s="87">
        <f t="shared" si="9"/>
        <v>113.25008288208642</v>
      </c>
      <c r="AI14" s="87">
        <f t="shared" si="10"/>
        <v>99.727520435967293</v>
      </c>
      <c r="AJ14" s="87">
        <f t="shared" si="11"/>
        <v>97.183499288762448</v>
      </c>
      <c r="AK14" s="87">
        <f t="shared" si="12"/>
        <v>122.70000000000016</v>
      </c>
      <c r="AL14" s="87">
        <f t="shared" si="13"/>
        <v>113.55950933804841</v>
      </c>
      <c r="AM14" s="87">
        <f t="shared" si="14"/>
        <v>0.75899529405142618</v>
      </c>
      <c r="AN14" s="87">
        <f t="shared" si="21"/>
        <v>866.3</v>
      </c>
      <c r="AO14" s="87">
        <f t="shared" si="21"/>
        <v>866.3</v>
      </c>
      <c r="AP14" s="87">
        <f t="shared" si="15"/>
        <v>0</v>
      </c>
      <c r="AQ14" s="87">
        <f t="shared" si="16"/>
        <v>100</v>
      </c>
      <c r="AR14" s="87">
        <f t="shared" si="17"/>
        <v>0.77504746192757146</v>
      </c>
      <c r="AS14" s="88">
        <f t="shared" si="21"/>
        <v>866.3</v>
      </c>
      <c r="AT14" s="88">
        <f t="shared" si="21"/>
        <v>866.3</v>
      </c>
    </row>
    <row r="15" spans="1:46" ht="20.25" customHeight="1" x14ac:dyDescent="0.2">
      <c r="A15" s="105" t="s">
        <v>320</v>
      </c>
      <c r="B15" s="91" t="s">
        <v>318</v>
      </c>
      <c r="C15" s="92" t="s">
        <v>307</v>
      </c>
      <c r="D15" s="93">
        <v>0</v>
      </c>
      <c r="E15" s="94">
        <f>62.211+18.788</f>
        <v>80.998999999999995</v>
      </c>
      <c r="F15" s="95">
        <f>70.654+17.345</f>
        <v>87.998999999999995</v>
      </c>
      <c r="G15" s="94">
        <v>91</v>
      </c>
      <c r="H15" s="94">
        <v>142</v>
      </c>
      <c r="I15" s="94">
        <v>110</v>
      </c>
      <c r="J15" s="94">
        <v>255.6</v>
      </c>
      <c r="K15" s="96">
        <v>135</v>
      </c>
      <c r="L15" s="96">
        <v>116.3</v>
      </c>
      <c r="M15" s="97">
        <v>112.4</v>
      </c>
      <c r="N15" s="94">
        <v>122.1</v>
      </c>
      <c r="O15" s="94">
        <v>122.1</v>
      </c>
      <c r="P15" s="94">
        <v>122.1</v>
      </c>
      <c r="Q15" s="98">
        <v>122.1</v>
      </c>
      <c r="R15" s="94">
        <v>122.1</v>
      </c>
      <c r="S15" s="94">
        <v>122.1</v>
      </c>
      <c r="T15" s="94">
        <v>122.1</v>
      </c>
      <c r="U15" s="99">
        <v>113.2</v>
      </c>
      <c r="V15" s="99">
        <v>113.2</v>
      </c>
      <c r="W15" s="99">
        <v>113.2</v>
      </c>
      <c r="X15" s="99">
        <v>113.2</v>
      </c>
      <c r="Y15" s="99">
        <v>113.2</v>
      </c>
      <c r="Z15" s="97">
        <v>113.2</v>
      </c>
      <c r="AA15" s="97">
        <v>113.2</v>
      </c>
      <c r="AB15" s="97">
        <v>113.2</v>
      </c>
      <c r="AC15" s="97">
        <v>113.2</v>
      </c>
      <c r="AD15" s="97">
        <f t="shared" si="5"/>
        <v>0</v>
      </c>
      <c r="AE15" s="97">
        <f t="shared" si="6"/>
        <v>100</v>
      </c>
      <c r="AF15" s="97">
        <f t="shared" si="7"/>
        <v>0</v>
      </c>
      <c r="AG15" s="97">
        <f t="shared" si="8"/>
        <v>100</v>
      </c>
      <c r="AH15" s="97">
        <f t="shared" si="9"/>
        <v>100</v>
      </c>
      <c r="AI15" s="97">
        <f t="shared" si="10"/>
        <v>100</v>
      </c>
      <c r="AJ15" s="97">
        <f t="shared" si="11"/>
        <v>92.710892710892722</v>
      </c>
      <c r="AK15" s="97">
        <f t="shared" si="12"/>
        <v>0</v>
      </c>
      <c r="AL15" s="97">
        <f t="shared" si="13"/>
        <v>100</v>
      </c>
      <c r="AM15" s="97">
        <f t="shared" si="14"/>
        <v>8.3839058632534588E-2</v>
      </c>
      <c r="AN15" s="99">
        <v>115.3</v>
      </c>
      <c r="AO15" s="99">
        <v>115.3</v>
      </c>
      <c r="AP15" s="97">
        <f t="shared" si="15"/>
        <v>0</v>
      </c>
      <c r="AQ15" s="97">
        <f t="shared" si="16"/>
        <v>100</v>
      </c>
      <c r="AR15" s="97">
        <f t="shared" si="17"/>
        <v>0.10315476435443724</v>
      </c>
      <c r="AS15" s="100">
        <v>115.3</v>
      </c>
      <c r="AT15" s="101">
        <v>115.3</v>
      </c>
    </row>
    <row r="16" spans="1:46" ht="20.25" customHeight="1" x14ac:dyDescent="0.2">
      <c r="A16" s="106" t="s">
        <v>321</v>
      </c>
      <c r="B16" s="91" t="s">
        <v>318</v>
      </c>
      <c r="C16" s="92" t="s">
        <v>322</v>
      </c>
      <c r="D16" s="93">
        <f>577+401.078+25.699+99.956+96.002</f>
        <v>1199.7349999999999</v>
      </c>
      <c r="E16" s="94">
        <f>348+577+50</f>
        <v>975</v>
      </c>
      <c r="F16" s="95">
        <f>696.083+577+10.5+87.308</f>
        <v>1370.8910000000001</v>
      </c>
      <c r="G16" s="94">
        <v>1389.4</v>
      </c>
      <c r="H16" s="94">
        <v>852.5</v>
      </c>
      <c r="I16" s="94">
        <v>1023.8</v>
      </c>
      <c r="J16" s="94">
        <v>864.4</v>
      </c>
      <c r="K16" s="96">
        <v>671.5</v>
      </c>
      <c r="L16" s="96">
        <v>989.2</v>
      </c>
      <c r="M16" s="97">
        <v>3858.3</v>
      </c>
      <c r="N16" s="94">
        <v>699</v>
      </c>
      <c r="O16" s="94">
        <v>772.8</v>
      </c>
      <c r="P16" s="94">
        <v>802.8</v>
      </c>
      <c r="Q16" s="98">
        <v>837.4</v>
      </c>
      <c r="R16" s="94">
        <v>889.3</v>
      </c>
      <c r="S16" s="94">
        <v>889.3</v>
      </c>
      <c r="T16" s="94">
        <v>837.3</v>
      </c>
      <c r="U16" s="99">
        <v>132.69999999999999</v>
      </c>
      <c r="V16" s="99">
        <v>132.69999999999999</v>
      </c>
      <c r="W16" s="99">
        <v>132.69999999999999</v>
      </c>
      <c r="X16" s="99"/>
      <c r="Y16" s="99"/>
      <c r="Z16" s="97">
        <v>0</v>
      </c>
      <c r="AA16" s="97">
        <v>0</v>
      </c>
      <c r="AB16" s="97"/>
      <c r="AC16" s="97"/>
      <c r="AD16" s="97">
        <f t="shared" si="5"/>
        <v>0</v>
      </c>
      <c r="AE16" s="97"/>
      <c r="AF16" s="97">
        <f t="shared" si="7"/>
        <v>0</v>
      </c>
      <c r="AG16" s="97"/>
      <c r="AH16" s="97">
        <f t="shared" si="9"/>
        <v>0</v>
      </c>
      <c r="AI16" s="97"/>
      <c r="AJ16" s="97">
        <f t="shared" si="11"/>
        <v>0</v>
      </c>
      <c r="AK16" s="97">
        <f t="shared" si="12"/>
        <v>-132.69999999999999</v>
      </c>
      <c r="AL16" s="97">
        <f t="shared" si="13"/>
        <v>0</v>
      </c>
      <c r="AM16" s="97">
        <f t="shared" si="14"/>
        <v>0</v>
      </c>
      <c r="AN16" s="99">
        <v>0</v>
      </c>
      <c r="AO16" s="99">
        <v>0</v>
      </c>
      <c r="AP16" s="97">
        <f t="shared" si="15"/>
        <v>0</v>
      </c>
      <c r="AQ16" s="97">
        <v>0</v>
      </c>
      <c r="AR16" s="97">
        <f t="shared" si="17"/>
        <v>0</v>
      </c>
      <c r="AS16" s="100">
        <v>0</v>
      </c>
      <c r="AT16" s="101"/>
    </row>
    <row r="17" spans="1:46" ht="72" customHeight="1" x14ac:dyDescent="0.2">
      <c r="A17" s="106" t="s">
        <v>323</v>
      </c>
      <c r="B17" s="91" t="s">
        <v>318</v>
      </c>
      <c r="C17" s="92" t="s">
        <v>324</v>
      </c>
      <c r="D17" s="93"/>
      <c r="E17" s="94"/>
      <c r="F17" s="95"/>
      <c r="G17" s="94"/>
      <c r="H17" s="94"/>
      <c r="I17" s="94"/>
      <c r="J17" s="94"/>
      <c r="K17" s="96"/>
      <c r="L17" s="96"/>
      <c r="M17" s="97"/>
      <c r="N17" s="94"/>
      <c r="O17" s="94"/>
      <c r="P17" s="94"/>
      <c r="Q17" s="98"/>
      <c r="R17" s="94"/>
      <c r="S17" s="94"/>
      <c r="T17" s="94"/>
      <c r="U17" s="99">
        <v>568.4</v>
      </c>
      <c r="V17" s="99">
        <v>619.70000000000005</v>
      </c>
      <c r="W17" s="99">
        <v>619.70000000000005</v>
      </c>
      <c r="X17" s="99">
        <f>691+132.7</f>
        <v>823.7</v>
      </c>
      <c r="Y17" s="99">
        <f>691+132.7</f>
        <v>823.7</v>
      </c>
      <c r="Z17" s="97">
        <v>823.7</v>
      </c>
      <c r="AA17" s="97">
        <v>823.7</v>
      </c>
      <c r="AB17" s="97">
        <v>823.7</v>
      </c>
      <c r="AC17" s="97">
        <v>820.9</v>
      </c>
      <c r="AD17" s="97">
        <f t="shared" si="5"/>
        <v>0</v>
      </c>
      <c r="AE17" s="97">
        <f t="shared" si="6"/>
        <v>100</v>
      </c>
      <c r="AF17" s="97">
        <f t="shared" si="7"/>
        <v>-2.8000000000000682</v>
      </c>
      <c r="AG17" s="97">
        <f t="shared" si="8"/>
        <v>99.660070413985665</v>
      </c>
      <c r="AH17" s="97">
        <f t="shared" si="9"/>
        <v>144.42294159042928</v>
      </c>
      <c r="AI17" s="97">
        <f t="shared" si="10"/>
        <v>99.660070413985665</v>
      </c>
      <c r="AJ17" s="97"/>
      <c r="AK17" s="97">
        <f t="shared" si="12"/>
        <v>255.30000000000007</v>
      </c>
      <c r="AL17" s="97">
        <f t="shared" si="13"/>
        <v>144.91555242786771</v>
      </c>
      <c r="AM17" s="97">
        <f t="shared" si="14"/>
        <v>0.60798130063116296</v>
      </c>
      <c r="AN17" s="99">
        <v>715.3</v>
      </c>
      <c r="AO17" s="99">
        <v>715.3</v>
      </c>
      <c r="AP17" s="97">
        <f t="shared" si="15"/>
        <v>0</v>
      </c>
      <c r="AQ17" s="97">
        <f t="shared" si="16"/>
        <v>100</v>
      </c>
      <c r="AR17" s="97">
        <f t="shared" si="17"/>
        <v>0.63995319117718086</v>
      </c>
      <c r="AS17" s="100">
        <v>715.3</v>
      </c>
      <c r="AT17" s="101">
        <v>715.3</v>
      </c>
    </row>
    <row r="18" spans="1:46" ht="51.75" customHeight="1" x14ac:dyDescent="0.2">
      <c r="A18" s="106" t="s">
        <v>325</v>
      </c>
      <c r="B18" s="91" t="s">
        <v>318</v>
      </c>
      <c r="C18" s="92" t="s">
        <v>326</v>
      </c>
      <c r="D18" s="93">
        <v>0</v>
      </c>
      <c r="E18" s="94">
        <v>0</v>
      </c>
      <c r="F18" s="95">
        <f>7.65+103.5</f>
        <v>111.15</v>
      </c>
      <c r="G18" s="94"/>
      <c r="H18" s="94">
        <v>100</v>
      </c>
      <c r="I18" s="94">
        <v>314.7</v>
      </c>
      <c r="J18" s="94">
        <v>122</v>
      </c>
      <c r="K18" s="96">
        <v>135.9</v>
      </c>
      <c r="L18" s="96">
        <v>95.9</v>
      </c>
      <c r="M18" s="97">
        <v>85.2</v>
      </c>
      <c r="N18" s="94">
        <v>95</v>
      </c>
      <c r="O18" s="94">
        <v>95</v>
      </c>
      <c r="P18" s="94">
        <v>95</v>
      </c>
      <c r="Q18" s="98">
        <v>95</v>
      </c>
      <c r="R18" s="94">
        <v>95.1</v>
      </c>
      <c r="S18" s="94">
        <v>95.1</v>
      </c>
      <c r="T18" s="94">
        <v>95.1</v>
      </c>
      <c r="U18" s="99">
        <v>90.6</v>
      </c>
      <c r="V18" s="99">
        <v>90.6</v>
      </c>
      <c r="W18" s="99">
        <v>90.6</v>
      </c>
      <c r="X18" s="99">
        <v>90.6</v>
      </c>
      <c r="Y18" s="99">
        <v>90.6</v>
      </c>
      <c r="Z18" s="97">
        <v>90.6</v>
      </c>
      <c r="AA18" s="97">
        <v>90.7</v>
      </c>
      <c r="AB18" s="97">
        <v>90.7</v>
      </c>
      <c r="AC18" s="97">
        <v>90.7</v>
      </c>
      <c r="AD18" s="97">
        <f t="shared" si="5"/>
        <v>0</v>
      </c>
      <c r="AE18" s="97">
        <f t="shared" si="6"/>
        <v>100</v>
      </c>
      <c r="AF18" s="97">
        <f t="shared" si="7"/>
        <v>0</v>
      </c>
      <c r="AG18" s="97">
        <f t="shared" si="8"/>
        <v>100</v>
      </c>
      <c r="AH18" s="97">
        <f t="shared" si="9"/>
        <v>100.1103752759382</v>
      </c>
      <c r="AI18" s="97">
        <f t="shared" si="10"/>
        <v>100</v>
      </c>
      <c r="AJ18" s="97">
        <f t="shared" si="11"/>
        <v>95.3732912723449</v>
      </c>
      <c r="AK18" s="97">
        <f t="shared" si="12"/>
        <v>0.10000000000000853</v>
      </c>
      <c r="AL18" s="97">
        <f t="shared" si="13"/>
        <v>100.1103752759382</v>
      </c>
      <c r="AM18" s="97">
        <f t="shared" si="14"/>
        <v>6.7174934787728693E-2</v>
      </c>
      <c r="AN18" s="99">
        <v>35.700000000000003</v>
      </c>
      <c r="AO18" s="99">
        <v>35.700000000000003</v>
      </c>
      <c r="AP18" s="97">
        <f t="shared" si="15"/>
        <v>0</v>
      </c>
      <c r="AQ18" s="97">
        <f t="shared" si="16"/>
        <v>100</v>
      </c>
      <c r="AR18" s="97">
        <f t="shared" si="17"/>
        <v>3.1939506395953256E-2</v>
      </c>
      <c r="AS18" s="100">
        <v>35.700000000000003</v>
      </c>
      <c r="AT18" s="101">
        <v>35.700000000000003</v>
      </c>
    </row>
    <row r="19" spans="1:46" s="89" customFormat="1" ht="18.75" customHeight="1" x14ac:dyDescent="0.2">
      <c r="A19" s="82" t="s">
        <v>327</v>
      </c>
      <c r="B19" s="83" t="s">
        <v>307</v>
      </c>
      <c r="C19" s="84"/>
      <c r="D19" s="85">
        <f>D22+D25+D24+D20+D23</f>
        <v>1101.0360000000001</v>
      </c>
      <c r="E19" s="86">
        <f>E22+E25+E24+E20+E23</f>
        <v>20468.071999999996</v>
      </c>
      <c r="F19" s="86">
        <f>F22+F25+F24+F20+F23</f>
        <v>9811.1200000000008</v>
      </c>
      <c r="G19" s="86">
        <f t="shared" ref="G19:H19" si="22">G22+G25+G24+G20+G23</f>
        <v>7921.4</v>
      </c>
      <c r="H19" s="86">
        <f t="shared" si="22"/>
        <v>6918.6</v>
      </c>
      <c r="I19" s="86">
        <f>I22+I25+I24+I20+I23</f>
        <v>7649.5999999999995</v>
      </c>
      <c r="J19" s="86">
        <f t="shared" ref="J19:N19" si="23">J22+J25+J24+J20+J23</f>
        <v>9560.6</v>
      </c>
      <c r="K19" s="86">
        <f t="shared" si="23"/>
        <v>9201.2000000000007</v>
      </c>
      <c r="L19" s="86">
        <f t="shared" si="23"/>
        <v>10431.299999999999</v>
      </c>
      <c r="M19" s="87">
        <f t="shared" si="23"/>
        <v>7679.1</v>
      </c>
      <c r="N19" s="86">
        <f t="shared" si="23"/>
        <v>7420.2</v>
      </c>
      <c r="O19" s="86">
        <f>O22+O25+O24+O20+O23+O21</f>
        <v>8405.1</v>
      </c>
      <c r="P19" s="86">
        <f>P22+P25+P24+P20+P23+P21</f>
        <v>13118.599999999999</v>
      </c>
      <c r="Q19" s="86">
        <f t="shared" ref="Q19:V19" si="24">Q22+Q25+Q24+Q20+Q23+Q21</f>
        <v>13294.599999999999</v>
      </c>
      <c r="R19" s="86">
        <f t="shared" si="24"/>
        <v>14691.8</v>
      </c>
      <c r="S19" s="86">
        <f t="shared" si="24"/>
        <v>14691.8</v>
      </c>
      <c r="T19" s="86">
        <f t="shared" si="24"/>
        <v>14413.2</v>
      </c>
      <c r="U19" s="87">
        <f t="shared" si="24"/>
        <v>7453.6</v>
      </c>
      <c r="V19" s="87">
        <f t="shared" si="24"/>
        <v>8468.2000000000007</v>
      </c>
      <c r="W19" s="87">
        <f>W22+W25+W24+W20+W23+W21</f>
        <v>9845.5</v>
      </c>
      <c r="X19" s="87">
        <f>X22+X25+X24+X20+X23+X21</f>
        <v>12625.3</v>
      </c>
      <c r="Y19" s="87">
        <f>Y22+Y25+Y24+Y20+Y23+Y21</f>
        <v>12034.9</v>
      </c>
      <c r="Z19" s="87">
        <f>Z22+Z25+Z24+Z20+Z23+Z21</f>
        <v>12034.9</v>
      </c>
      <c r="AA19" s="87">
        <f>AA22+AA25+AA24+AA20+AA23+AA21</f>
        <v>12986.900000000001</v>
      </c>
      <c r="AB19" s="87">
        <f t="shared" ref="AB19:AC19" si="25">AB22+AB25+AB24+AB20+AB23+AB21</f>
        <v>12986.900000000001</v>
      </c>
      <c r="AC19" s="87">
        <f t="shared" si="25"/>
        <v>11584.3</v>
      </c>
      <c r="AD19" s="87">
        <f t="shared" si="5"/>
        <v>0</v>
      </c>
      <c r="AE19" s="87">
        <f t="shared" si="6"/>
        <v>100</v>
      </c>
      <c r="AF19" s="87">
        <f t="shared" si="7"/>
        <v>-1402.6000000000022</v>
      </c>
      <c r="AG19" s="87">
        <f t="shared" si="8"/>
        <v>89.199886039008518</v>
      </c>
      <c r="AH19" s="87">
        <f t="shared" si="9"/>
        <v>155.4188580015026</v>
      </c>
      <c r="AI19" s="87">
        <f t="shared" si="10"/>
        <v>89.199886039008518</v>
      </c>
      <c r="AJ19" s="87">
        <f t="shared" si="11"/>
        <v>80.372852662836834</v>
      </c>
      <c r="AK19" s="87">
        <f t="shared" si="12"/>
        <v>5533.3000000000011</v>
      </c>
      <c r="AL19" s="87">
        <f t="shared" si="13"/>
        <v>174.23661049694107</v>
      </c>
      <c r="AM19" s="87">
        <f t="shared" si="14"/>
        <v>8.5796537713504435</v>
      </c>
      <c r="AN19" s="87">
        <f t="shared" ref="AN19:AT19" si="26">AN22+AN25+AN24+AN20+AN23+AN21</f>
        <v>8545.2000000000007</v>
      </c>
      <c r="AO19" s="87">
        <f t="shared" si="26"/>
        <v>10399.799999999999</v>
      </c>
      <c r="AP19" s="87">
        <f t="shared" si="15"/>
        <v>1854.5999999999985</v>
      </c>
      <c r="AQ19" s="87">
        <f t="shared" si="16"/>
        <v>121.70341244207272</v>
      </c>
      <c r="AR19" s="87">
        <f t="shared" si="17"/>
        <v>9.3043271321186154</v>
      </c>
      <c r="AS19" s="88">
        <f t="shared" si="26"/>
        <v>7160.8</v>
      </c>
      <c r="AT19" s="88">
        <f t="shared" si="26"/>
        <v>7165.8</v>
      </c>
    </row>
    <row r="20" spans="1:46" ht="27.75" customHeight="1" x14ac:dyDescent="0.2">
      <c r="A20" s="90" t="s">
        <v>328</v>
      </c>
      <c r="B20" s="91" t="s">
        <v>307</v>
      </c>
      <c r="C20" s="92" t="s">
        <v>303</v>
      </c>
      <c r="D20" s="93">
        <f>481.762+157.842</f>
        <v>639.60400000000004</v>
      </c>
      <c r="E20" s="94">
        <f>121.816+36.791+893.625+269.875</f>
        <v>1322.107</v>
      </c>
      <c r="F20" s="95">
        <f>71.474+21.585+774.001+233.748</f>
        <v>1100.808</v>
      </c>
      <c r="G20" s="94">
        <v>1340.2</v>
      </c>
      <c r="H20" s="94">
        <v>1555</v>
      </c>
      <c r="I20" s="94">
        <v>1783.7</v>
      </c>
      <c r="J20" s="94">
        <v>1599.9</v>
      </c>
      <c r="K20" s="96">
        <v>2695.9</v>
      </c>
      <c r="L20" s="96">
        <v>2969.3</v>
      </c>
      <c r="M20" s="97">
        <v>1009.1</v>
      </c>
      <c r="N20" s="94">
        <v>381.8</v>
      </c>
      <c r="O20" s="94">
        <v>1007.4</v>
      </c>
      <c r="P20" s="94">
        <v>1007.4</v>
      </c>
      <c r="Q20" s="98">
        <v>1007.4</v>
      </c>
      <c r="R20" s="94">
        <v>1305.7</v>
      </c>
      <c r="S20" s="94">
        <v>1305.7</v>
      </c>
      <c r="T20" s="94">
        <v>1305.7</v>
      </c>
      <c r="U20" s="99">
        <v>1835.9</v>
      </c>
      <c r="V20" s="99">
        <v>1835.9</v>
      </c>
      <c r="W20" s="99">
        <v>2010.7</v>
      </c>
      <c r="X20" s="99">
        <v>3307</v>
      </c>
      <c r="Y20" s="99">
        <v>3468.8</v>
      </c>
      <c r="Z20" s="97">
        <v>3468.8</v>
      </c>
      <c r="AA20" s="97">
        <v>3900.8</v>
      </c>
      <c r="AB20" s="97">
        <v>3900.8</v>
      </c>
      <c r="AC20" s="97">
        <v>3538</v>
      </c>
      <c r="AD20" s="97">
        <f t="shared" si="5"/>
        <v>0</v>
      </c>
      <c r="AE20" s="97">
        <f t="shared" si="6"/>
        <v>100</v>
      </c>
      <c r="AF20" s="97">
        <f t="shared" si="7"/>
        <v>-362.80000000000018</v>
      </c>
      <c r="AG20" s="97">
        <f t="shared" si="8"/>
        <v>90.69934372436424</v>
      </c>
      <c r="AH20" s="97">
        <f t="shared" si="9"/>
        <v>192.71202135192547</v>
      </c>
      <c r="AI20" s="97">
        <f t="shared" si="10"/>
        <v>90.69934372436424</v>
      </c>
      <c r="AJ20" s="97">
        <f t="shared" si="11"/>
        <v>270.96576548977561</v>
      </c>
      <c r="AK20" s="97">
        <f t="shared" si="12"/>
        <v>2064.9</v>
      </c>
      <c r="AL20" s="97">
        <f t="shared" si="13"/>
        <v>212.47344626613648</v>
      </c>
      <c r="AM20" s="97">
        <f t="shared" si="14"/>
        <v>2.6203408961299237</v>
      </c>
      <c r="AN20" s="99">
        <v>1464.7</v>
      </c>
      <c r="AO20" s="99">
        <v>1464.7</v>
      </c>
      <c r="AP20" s="97">
        <f t="shared" si="15"/>
        <v>0</v>
      </c>
      <c r="AQ20" s="97">
        <f t="shared" si="16"/>
        <v>100</v>
      </c>
      <c r="AR20" s="97">
        <f t="shared" si="17"/>
        <v>1.3104144262787878</v>
      </c>
      <c r="AS20" s="100"/>
      <c r="AT20" s="101"/>
    </row>
    <row r="21" spans="1:46" ht="30" customHeight="1" x14ac:dyDescent="0.2">
      <c r="A21" s="107" t="s">
        <v>329</v>
      </c>
      <c r="B21" s="108" t="s">
        <v>307</v>
      </c>
      <c r="C21" s="109" t="s">
        <v>330</v>
      </c>
      <c r="D21" s="93"/>
      <c r="E21" s="94"/>
      <c r="F21" s="95"/>
      <c r="G21" s="94"/>
      <c r="H21" s="94"/>
      <c r="I21" s="94"/>
      <c r="J21" s="94"/>
      <c r="K21" s="96"/>
      <c r="L21" s="96"/>
      <c r="M21" s="97"/>
      <c r="N21" s="94"/>
      <c r="O21" s="94">
        <v>200</v>
      </c>
      <c r="P21" s="94">
        <v>200</v>
      </c>
      <c r="Q21" s="98">
        <v>200</v>
      </c>
      <c r="R21" s="94">
        <v>200</v>
      </c>
      <c r="S21" s="94">
        <v>200</v>
      </c>
      <c r="T21" s="94">
        <v>200</v>
      </c>
      <c r="U21" s="99">
        <v>0</v>
      </c>
      <c r="V21" s="99">
        <v>200</v>
      </c>
      <c r="W21" s="99">
        <v>200</v>
      </c>
      <c r="X21" s="99">
        <v>200</v>
      </c>
      <c r="Y21" s="99">
        <v>200</v>
      </c>
      <c r="Z21" s="97">
        <v>200</v>
      </c>
      <c r="AA21" s="97">
        <v>400</v>
      </c>
      <c r="AB21" s="97">
        <v>400</v>
      </c>
      <c r="AC21" s="97">
        <v>400</v>
      </c>
      <c r="AD21" s="97">
        <f t="shared" si="5"/>
        <v>0</v>
      </c>
      <c r="AE21" s="97">
        <f t="shared" si="6"/>
        <v>100</v>
      </c>
      <c r="AF21" s="97">
        <f t="shared" si="7"/>
        <v>0</v>
      </c>
      <c r="AG21" s="97">
        <f t="shared" si="8"/>
        <v>100</v>
      </c>
      <c r="AH21" s="97"/>
      <c r="AI21" s="97">
        <f t="shared" si="10"/>
        <v>100</v>
      </c>
      <c r="AJ21" s="97">
        <f t="shared" si="11"/>
        <v>200</v>
      </c>
      <c r="AK21" s="97">
        <f t="shared" si="12"/>
        <v>400</v>
      </c>
      <c r="AL21" s="97"/>
      <c r="AM21" s="97">
        <f t="shared" si="14"/>
        <v>0.29625109057432719</v>
      </c>
      <c r="AN21" s="99">
        <v>0</v>
      </c>
      <c r="AO21" s="99">
        <v>300</v>
      </c>
      <c r="AP21" s="97">
        <f t="shared" si="15"/>
        <v>300</v>
      </c>
      <c r="AQ21" s="97">
        <v>0</v>
      </c>
      <c r="AR21" s="97">
        <f t="shared" si="17"/>
        <v>0.26839921341137185</v>
      </c>
      <c r="AS21" s="100"/>
      <c r="AT21" s="101"/>
    </row>
    <row r="22" spans="1:46" ht="0.75" hidden="1" customHeight="1" x14ac:dyDescent="0.2">
      <c r="A22" s="103" t="s">
        <v>331</v>
      </c>
      <c r="B22" s="91" t="s">
        <v>307</v>
      </c>
      <c r="C22" s="92" t="s">
        <v>332</v>
      </c>
      <c r="D22" s="93">
        <v>0</v>
      </c>
      <c r="E22" s="94">
        <v>0</v>
      </c>
      <c r="F22" s="95">
        <v>0</v>
      </c>
      <c r="G22" s="94"/>
      <c r="H22" s="94"/>
      <c r="I22" s="94"/>
      <c r="J22" s="94"/>
      <c r="K22" s="96"/>
      <c r="L22" s="96"/>
      <c r="M22" s="97"/>
      <c r="N22" s="94"/>
      <c r="O22" s="94"/>
      <c r="P22" s="94"/>
      <c r="Q22" s="98"/>
      <c r="R22" s="94"/>
      <c r="S22" s="94"/>
      <c r="T22" s="94"/>
      <c r="U22" s="99"/>
      <c r="V22" s="99"/>
      <c r="W22" s="99"/>
      <c r="X22" s="99"/>
      <c r="Y22" s="99"/>
      <c r="Z22" s="97"/>
      <c r="AA22" s="97"/>
      <c r="AB22" s="97"/>
      <c r="AC22" s="97"/>
      <c r="AD22" s="97">
        <f t="shared" si="5"/>
        <v>0</v>
      </c>
      <c r="AE22" s="97" t="e">
        <f t="shared" si="6"/>
        <v>#DIV/0!</v>
      </c>
      <c r="AF22" s="97">
        <f t="shared" si="7"/>
        <v>0</v>
      </c>
      <c r="AG22" s="97" t="e">
        <f t="shared" si="8"/>
        <v>#DIV/0!</v>
      </c>
      <c r="AH22" s="97" t="e">
        <f t="shared" si="9"/>
        <v>#DIV/0!</v>
      </c>
      <c r="AI22" s="97" t="e">
        <f t="shared" si="10"/>
        <v>#DIV/0!</v>
      </c>
      <c r="AJ22" s="97" t="e">
        <f t="shared" si="11"/>
        <v>#DIV/0!</v>
      </c>
      <c r="AK22" s="97">
        <f t="shared" si="12"/>
        <v>0</v>
      </c>
      <c r="AL22" s="97" t="e">
        <f t="shared" si="13"/>
        <v>#DIV/0!</v>
      </c>
      <c r="AM22" s="97">
        <f t="shared" si="14"/>
        <v>0</v>
      </c>
      <c r="AN22" s="99"/>
      <c r="AO22" s="99"/>
      <c r="AP22" s="97">
        <f t="shared" si="15"/>
        <v>0</v>
      </c>
      <c r="AQ22" s="97" t="e">
        <f t="shared" si="16"/>
        <v>#DIV/0!</v>
      </c>
      <c r="AR22" s="97">
        <f t="shared" si="17"/>
        <v>0</v>
      </c>
      <c r="AS22" s="100"/>
      <c r="AT22" s="101"/>
    </row>
    <row r="23" spans="1:46" ht="27.75" customHeight="1" x14ac:dyDescent="0.2">
      <c r="A23" s="110" t="s">
        <v>333</v>
      </c>
      <c r="B23" s="91" t="s">
        <v>307</v>
      </c>
      <c r="C23" s="92" t="s">
        <v>322</v>
      </c>
      <c r="D23" s="93">
        <f>0</f>
        <v>0</v>
      </c>
      <c r="E23" s="94">
        <f>8734.319+126.987+7312.949</f>
        <v>16174.254999999997</v>
      </c>
      <c r="F23" s="95">
        <v>8217.2260000000006</v>
      </c>
      <c r="G23" s="94">
        <v>6042</v>
      </c>
      <c r="H23" s="94">
        <v>4604.8</v>
      </c>
      <c r="I23" s="94">
        <v>4850.8999999999996</v>
      </c>
      <c r="J23" s="94">
        <v>7011.2</v>
      </c>
      <c r="K23" s="96">
        <v>5506.4</v>
      </c>
      <c r="L23" s="96">
        <v>6448.8</v>
      </c>
      <c r="M23" s="97">
        <v>5711.3</v>
      </c>
      <c r="N23" s="94">
        <v>6255.4</v>
      </c>
      <c r="O23" s="94">
        <v>6115.3</v>
      </c>
      <c r="P23" s="94">
        <v>10773.8</v>
      </c>
      <c r="Q23" s="98">
        <v>10773.8</v>
      </c>
      <c r="R23" s="94">
        <v>11870.4</v>
      </c>
      <c r="S23" s="94">
        <v>11870.4</v>
      </c>
      <c r="T23" s="94">
        <v>11644.4</v>
      </c>
      <c r="U23" s="99">
        <v>4834.7</v>
      </c>
      <c r="V23" s="99">
        <v>5549.7</v>
      </c>
      <c r="W23" s="99">
        <v>6623.7</v>
      </c>
      <c r="X23" s="99">
        <v>7841.7</v>
      </c>
      <c r="Y23" s="99">
        <v>7089.5</v>
      </c>
      <c r="Z23" s="97">
        <v>7089.5</v>
      </c>
      <c r="AA23" s="97">
        <v>7161.7</v>
      </c>
      <c r="AB23" s="97">
        <v>7161.7</v>
      </c>
      <c r="AC23" s="97">
        <v>6411</v>
      </c>
      <c r="AD23" s="97">
        <f t="shared" si="5"/>
        <v>0</v>
      </c>
      <c r="AE23" s="97">
        <f t="shared" si="6"/>
        <v>100</v>
      </c>
      <c r="AF23" s="97">
        <f t="shared" si="7"/>
        <v>-750.69999999999982</v>
      </c>
      <c r="AG23" s="97">
        <f t="shared" si="8"/>
        <v>89.517851906670217</v>
      </c>
      <c r="AH23" s="97">
        <f t="shared" si="9"/>
        <v>132.60388441888847</v>
      </c>
      <c r="AI23" s="97">
        <f t="shared" si="10"/>
        <v>89.517851906670217</v>
      </c>
      <c r="AJ23" s="97">
        <f t="shared" si="11"/>
        <v>55.056507849266602</v>
      </c>
      <c r="AK23" s="97">
        <f t="shared" si="12"/>
        <v>2327</v>
      </c>
      <c r="AL23" s="97">
        <f t="shared" si="13"/>
        <v>148.13121806937349</v>
      </c>
      <c r="AM23" s="97">
        <f t="shared" si="14"/>
        <v>4.7481643541800285</v>
      </c>
      <c r="AN23" s="99">
        <v>6147.5</v>
      </c>
      <c r="AO23" s="99">
        <v>7380.6</v>
      </c>
      <c r="AP23" s="97">
        <f t="shared" si="15"/>
        <v>1233.1000000000004</v>
      </c>
      <c r="AQ23" s="97">
        <f t="shared" si="16"/>
        <v>120.05856039040262</v>
      </c>
      <c r="AR23" s="97">
        <f t="shared" si="17"/>
        <v>6.6031574483465709</v>
      </c>
      <c r="AS23" s="100">
        <v>6227.8</v>
      </c>
      <c r="AT23" s="101">
        <v>6232.8</v>
      </c>
    </row>
    <row r="24" spans="1:46" ht="18.75" customHeight="1" x14ac:dyDescent="0.2">
      <c r="A24" s="106" t="s">
        <v>334</v>
      </c>
      <c r="B24" s="91" t="s">
        <v>307</v>
      </c>
      <c r="C24" s="92" t="s">
        <v>324</v>
      </c>
      <c r="D24" s="93">
        <f>73.928+298.665</f>
        <v>372.59300000000002</v>
      </c>
      <c r="E24" s="94">
        <f>101.834+344.234</f>
        <v>446.06799999999998</v>
      </c>
      <c r="F24" s="95">
        <f>99.12+329.966</f>
        <v>429.08600000000001</v>
      </c>
      <c r="G24" s="94">
        <v>481.8</v>
      </c>
      <c r="H24" s="94">
        <v>478.2</v>
      </c>
      <c r="I24" s="94">
        <v>632</v>
      </c>
      <c r="J24" s="94">
        <v>556.5</v>
      </c>
      <c r="K24" s="96">
        <v>615.9</v>
      </c>
      <c r="L24" s="96">
        <v>858.2</v>
      </c>
      <c r="M24" s="97">
        <v>575.70000000000005</v>
      </c>
      <c r="N24" s="94">
        <v>400</v>
      </c>
      <c r="O24" s="94">
        <v>699.4</v>
      </c>
      <c r="P24" s="94">
        <v>754.4</v>
      </c>
      <c r="Q24" s="98">
        <v>930.4</v>
      </c>
      <c r="R24" s="94">
        <v>977.7</v>
      </c>
      <c r="S24" s="94">
        <v>977.7</v>
      </c>
      <c r="T24" s="94">
        <v>925.1</v>
      </c>
      <c r="U24" s="99">
        <v>400</v>
      </c>
      <c r="V24" s="99">
        <v>499.6</v>
      </c>
      <c r="W24" s="99">
        <v>628.1</v>
      </c>
      <c r="X24" s="99">
        <v>893.6</v>
      </c>
      <c r="Y24" s="99">
        <v>893.6</v>
      </c>
      <c r="Z24" s="97">
        <v>893.6</v>
      </c>
      <c r="AA24" s="97">
        <v>1141.4000000000001</v>
      </c>
      <c r="AB24" s="97">
        <v>1141.4000000000001</v>
      </c>
      <c r="AC24" s="97">
        <v>852.3</v>
      </c>
      <c r="AD24" s="97">
        <f t="shared" si="5"/>
        <v>0</v>
      </c>
      <c r="AE24" s="97">
        <f t="shared" si="6"/>
        <v>100</v>
      </c>
      <c r="AF24" s="97">
        <f t="shared" si="7"/>
        <v>-289.10000000000014</v>
      </c>
      <c r="AG24" s="97">
        <f t="shared" si="8"/>
        <v>74.671456106535828</v>
      </c>
      <c r="AH24" s="97">
        <f t="shared" si="9"/>
        <v>213.07499999999999</v>
      </c>
      <c r="AI24" s="97">
        <f t="shared" si="10"/>
        <v>74.671456106535828</v>
      </c>
      <c r="AJ24" s="97">
        <f t="shared" si="11"/>
        <v>92.130580477786182</v>
      </c>
      <c r="AK24" s="97">
        <f t="shared" si="12"/>
        <v>741.40000000000009</v>
      </c>
      <c r="AL24" s="97">
        <f t="shared" si="13"/>
        <v>285.35000000000002</v>
      </c>
      <c r="AM24" s="97">
        <f t="shared" si="14"/>
        <v>0.63123701124124754</v>
      </c>
      <c r="AN24" s="99">
        <v>550</v>
      </c>
      <c r="AO24" s="99">
        <v>871.5</v>
      </c>
      <c r="AP24" s="97">
        <f t="shared" si="15"/>
        <v>321.5</v>
      </c>
      <c r="AQ24" s="97">
        <f t="shared" si="16"/>
        <v>158.45454545454544</v>
      </c>
      <c r="AR24" s="97">
        <f t="shared" si="17"/>
        <v>0.77969971496003521</v>
      </c>
      <c r="AS24" s="100">
        <v>550</v>
      </c>
      <c r="AT24" s="101">
        <v>550</v>
      </c>
    </row>
    <row r="25" spans="1:46" ht="24.75" customHeight="1" x14ac:dyDescent="0.2">
      <c r="A25" s="106" t="s">
        <v>335</v>
      </c>
      <c r="B25" s="91" t="s">
        <v>307</v>
      </c>
      <c r="C25" s="92" t="s">
        <v>336</v>
      </c>
      <c r="D25" s="94">
        <v>88.838999999999999</v>
      </c>
      <c r="E25" s="94">
        <f>959.9+152.181+243.896+434.563+185.102+550</f>
        <v>2525.6419999999998</v>
      </c>
      <c r="F25" s="95">
        <v>64</v>
      </c>
      <c r="G25" s="94">
        <v>57.4</v>
      </c>
      <c r="H25" s="94">
        <v>280.60000000000002</v>
      </c>
      <c r="I25" s="94">
        <v>383</v>
      </c>
      <c r="J25" s="94">
        <v>393</v>
      </c>
      <c r="K25" s="96">
        <v>383</v>
      </c>
      <c r="L25" s="96">
        <v>155</v>
      </c>
      <c r="M25" s="97">
        <v>383</v>
      </c>
      <c r="N25" s="94">
        <v>383</v>
      </c>
      <c r="O25" s="94">
        <v>383</v>
      </c>
      <c r="P25" s="94">
        <v>383</v>
      </c>
      <c r="Q25" s="98">
        <v>383</v>
      </c>
      <c r="R25" s="94">
        <v>338</v>
      </c>
      <c r="S25" s="94">
        <v>338</v>
      </c>
      <c r="T25" s="94">
        <v>338</v>
      </c>
      <c r="U25" s="99">
        <v>383</v>
      </c>
      <c r="V25" s="99">
        <v>383</v>
      </c>
      <c r="W25" s="99">
        <v>383</v>
      </c>
      <c r="X25" s="99">
        <v>383</v>
      </c>
      <c r="Y25" s="99">
        <v>383</v>
      </c>
      <c r="Z25" s="97">
        <v>383</v>
      </c>
      <c r="AA25" s="97">
        <v>383</v>
      </c>
      <c r="AB25" s="97">
        <v>383</v>
      </c>
      <c r="AC25" s="97">
        <v>383</v>
      </c>
      <c r="AD25" s="97">
        <f t="shared" si="5"/>
        <v>0</v>
      </c>
      <c r="AE25" s="97">
        <f t="shared" si="6"/>
        <v>100</v>
      </c>
      <c r="AF25" s="97">
        <f t="shared" si="7"/>
        <v>0</v>
      </c>
      <c r="AG25" s="97">
        <f t="shared" si="8"/>
        <v>100</v>
      </c>
      <c r="AH25" s="97">
        <f t="shared" si="9"/>
        <v>100</v>
      </c>
      <c r="AI25" s="97">
        <f t="shared" si="10"/>
        <v>100</v>
      </c>
      <c r="AJ25" s="97">
        <f t="shared" si="11"/>
        <v>113.31360946745561</v>
      </c>
      <c r="AK25" s="97">
        <f t="shared" si="12"/>
        <v>0</v>
      </c>
      <c r="AL25" s="97">
        <f t="shared" si="13"/>
        <v>100</v>
      </c>
      <c r="AM25" s="97">
        <f t="shared" si="14"/>
        <v>0.28366041922491825</v>
      </c>
      <c r="AN25" s="99">
        <v>383</v>
      </c>
      <c r="AO25" s="99">
        <v>383</v>
      </c>
      <c r="AP25" s="97">
        <f t="shared" si="15"/>
        <v>0</v>
      </c>
      <c r="AQ25" s="97">
        <f t="shared" si="16"/>
        <v>100</v>
      </c>
      <c r="AR25" s="97">
        <f t="shared" si="17"/>
        <v>0.3426563291218514</v>
      </c>
      <c r="AS25" s="100">
        <v>383</v>
      </c>
      <c r="AT25" s="101">
        <v>383</v>
      </c>
    </row>
    <row r="26" spans="1:46" s="89" customFormat="1" ht="27.75" customHeight="1" x14ac:dyDescent="0.2">
      <c r="A26" s="82" t="s">
        <v>337</v>
      </c>
      <c r="B26" s="83" t="s">
        <v>330</v>
      </c>
      <c r="C26" s="84"/>
      <c r="D26" s="85">
        <f>D27+D29+D28</f>
        <v>39616.542000000001</v>
      </c>
      <c r="E26" s="86">
        <f>E27+E29+E28</f>
        <v>37979.703999999998</v>
      </c>
      <c r="F26" s="86">
        <f t="shared" ref="F26:X26" si="27">F27+F29+F28</f>
        <v>32267.463000000003</v>
      </c>
      <c r="G26" s="86">
        <f t="shared" si="27"/>
        <v>19580.5</v>
      </c>
      <c r="H26" s="86">
        <f t="shared" si="27"/>
        <v>35511.1</v>
      </c>
      <c r="I26" s="86">
        <f t="shared" si="27"/>
        <v>39834.199999999997</v>
      </c>
      <c r="J26" s="86">
        <f t="shared" si="27"/>
        <v>43795.5</v>
      </c>
      <c r="K26" s="86">
        <f t="shared" si="27"/>
        <v>41645.599999999999</v>
      </c>
      <c r="L26" s="86">
        <f t="shared" si="27"/>
        <v>33778.400000000001</v>
      </c>
      <c r="M26" s="87">
        <f t="shared" si="27"/>
        <v>48308.7</v>
      </c>
      <c r="N26" s="86">
        <f t="shared" si="27"/>
        <v>12496.6</v>
      </c>
      <c r="O26" s="86">
        <f t="shared" si="27"/>
        <v>19451.3</v>
      </c>
      <c r="P26" s="86">
        <f t="shared" si="27"/>
        <v>20830</v>
      </c>
      <c r="Q26" s="86">
        <f t="shared" si="27"/>
        <v>29932.199999999997</v>
      </c>
      <c r="R26" s="86">
        <f>R27+R28+R29</f>
        <v>30925.299999999996</v>
      </c>
      <c r="S26" s="86">
        <f t="shared" ref="S26:T26" si="28">S27+S28+S29</f>
        <v>31225.299999999996</v>
      </c>
      <c r="T26" s="86">
        <f t="shared" si="28"/>
        <v>30132.399999999998</v>
      </c>
      <c r="U26" s="87">
        <f t="shared" si="27"/>
        <v>18304.199999999997</v>
      </c>
      <c r="V26" s="87">
        <f t="shared" si="27"/>
        <v>35309.600000000006</v>
      </c>
      <c r="W26" s="87">
        <f t="shared" si="27"/>
        <v>47745.100000000006</v>
      </c>
      <c r="X26" s="87">
        <f t="shared" si="27"/>
        <v>49094.2</v>
      </c>
      <c r="Y26" s="87">
        <f>Y27+Y29+Y28</f>
        <v>49220.800000000003</v>
      </c>
      <c r="Z26" s="87">
        <f t="shared" ref="Z26:AT26" si="29">Z27+Z29+Z28</f>
        <v>49220.800000000003</v>
      </c>
      <c r="AA26" s="87">
        <f t="shared" si="29"/>
        <v>48511.3</v>
      </c>
      <c r="AB26" s="87">
        <f t="shared" si="29"/>
        <v>48511.4</v>
      </c>
      <c r="AC26" s="87">
        <f t="shared" si="29"/>
        <v>47829.8</v>
      </c>
      <c r="AD26" s="87">
        <f t="shared" si="5"/>
        <v>9.9999999998544808E-2</v>
      </c>
      <c r="AE26" s="87">
        <f t="shared" si="6"/>
        <v>100.00020613753908</v>
      </c>
      <c r="AF26" s="87">
        <f t="shared" si="7"/>
        <v>-681.59999999999854</v>
      </c>
      <c r="AG26" s="87">
        <f t="shared" si="8"/>
        <v>98.594969429865969</v>
      </c>
      <c r="AH26" s="87">
        <f t="shared" si="9"/>
        <v>261.30505567028337</v>
      </c>
      <c r="AI26" s="87">
        <f t="shared" si="10"/>
        <v>98.595172671109623</v>
      </c>
      <c r="AJ26" s="87">
        <f t="shared" si="11"/>
        <v>158.73212887124822</v>
      </c>
      <c r="AK26" s="87">
        <f t="shared" si="12"/>
        <v>30207.100000000006</v>
      </c>
      <c r="AL26" s="87">
        <f t="shared" si="13"/>
        <v>265.02824488368793</v>
      </c>
      <c r="AM26" s="87">
        <f t="shared" si="14"/>
        <v>35.424076029879885</v>
      </c>
      <c r="AN26" s="87">
        <f t="shared" si="29"/>
        <v>16269.4</v>
      </c>
      <c r="AO26" s="87">
        <f t="shared" si="29"/>
        <v>27143.199999999997</v>
      </c>
      <c r="AP26" s="87">
        <f t="shared" si="15"/>
        <v>10873.799999999997</v>
      </c>
      <c r="AQ26" s="87">
        <f t="shared" si="16"/>
        <v>166.83590052491178</v>
      </c>
      <c r="AR26" s="87">
        <f t="shared" si="17"/>
        <v>24.28404509822516</v>
      </c>
      <c r="AS26" s="88">
        <f t="shared" si="29"/>
        <v>4964.3999999999996</v>
      </c>
      <c r="AT26" s="88">
        <f t="shared" si="29"/>
        <v>2854.4</v>
      </c>
    </row>
    <row r="27" spans="1:46" ht="19.5" customHeight="1" x14ac:dyDescent="0.2">
      <c r="A27" s="111" t="s">
        <v>338</v>
      </c>
      <c r="B27" s="112" t="s">
        <v>330</v>
      </c>
      <c r="C27" s="113" t="s">
        <v>303</v>
      </c>
      <c r="D27" s="93">
        <f>5598.796+1548.689</f>
        <v>7147.4850000000006</v>
      </c>
      <c r="E27" s="94">
        <f>4505.46+213.751+866.8+7778.508+452.7</f>
        <v>13817.219000000001</v>
      </c>
      <c r="F27" s="95">
        <f>2190.258+89.211+15663.483</f>
        <v>17942.952000000001</v>
      </c>
      <c r="G27" s="94">
        <v>2619.1</v>
      </c>
      <c r="H27" s="94">
        <v>3011</v>
      </c>
      <c r="I27" s="94">
        <v>3886.7</v>
      </c>
      <c r="J27" s="94">
        <v>1506.1</v>
      </c>
      <c r="K27" s="96">
        <v>544.6</v>
      </c>
      <c r="L27" s="96">
        <v>389</v>
      </c>
      <c r="M27" s="97">
        <v>1402.4</v>
      </c>
      <c r="N27" s="94">
        <v>131.80000000000001</v>
      </c>
      <c r="O27" s="94">
        <v>131.80000000000001</v>
      </c>
      <c r="P27" s="94">
        <v>411.8</v>
      </c>
      <c r="Q27" s="98">
        <v>411.8</v>
      </c>
      <c r="R27" s="94">
        <v>414.3</v>
      </c>
      <c r="S27" s="94">
        <v>414.3</v>
      </c>
      <c r="T27" s="94">
        <v>414.3</v>
      </c>
      <c r="U27" s="99">
        <v>144.4</v>
      </c>
      <c r="V27" s="99">
        <v>144.4</v>
      </c>
      <c r="W27" s="99">
        <v>144.4</v>
      </c>
      <c r="X27" s="99">
        <v>1639.4</v>
      </c>
      <c r="Y27" s="99">
        <v>1516.5</v>
      </c>
      <c r="Z27" s="97">
        <v>1516.5</v>
      </c>
      <c r="AA27" s="97">
        <v>1516.4</v>
      </c>
      <c r="AB27" s="97">
        <v>1516.4</v>
      </c>
      <c r="AC27" s="97">
        <v>1503</v>
      </c>
      <c r="AD27" s="97">
        <f t="shared" si="5"/>
        <v>0</v>
      </c>
      <c r="AE27" s="97">
        <f t="shared" si="6"/>
        <v>100</v>
      </c>
      <c r="AF27" s="97">
        <f t="shared" si="7"/>
        <v>-13.400000000000091</v>
      </c>
      <c r="AG27" s="97">
        <f t="shared" si="8"/>
        <v>99.116328145608009</v>
      </c>
      <c r="AH27" s="97">
        <f t="shared" si="9"/>
        <v>1040.8587257617728</v>
      </c>
      <c r="AI27" s="97">
        <f t="shared" si="10"/>
        <v>99.116328145608009</v>
      </c>
      <c r="AJ27" s="97">
        <f t="shared" si="11"/>
        <v>362.78059377262849</v>
      </c>
      <c r="AK27" s="97">
        <f t="shared" si="12"/>
        <v>1372</v>
      </c>
      <c r="AL27" s="97">
        <f t="shared" si="13"/>
        <v>1050.1385041551248</v>
      </c>
      <c r="AM27" s="97">
        <f t="shared" si="14"/>
        <v>1.1131634728330344</v>
      </c>
      <c r="AN27" s="99">
        <v>1072.3</v>
      </c>
      <c r="AO27" s="99">
        <v>1946.5</v>
      </c>
      <c r="AP27" s="97">
        <f t="shared" si="15"/>
        <v>874.2</v>
      </c>
      <c r="AQ27" s="97">
        <f t="shared" si="16"/>
        <v>181.52569243681808</v>
      </c>
      <c r="AR27" s="97">
        <f t="shared" si="17"/>
        <v>1.7414635630174511</v>
      </c>
      <c r="AS27" s="100">
        <v>1072.3</v>
      </c>
      <c r="AT27" s="101">
        <v>1072.3</v>
      </c>
    </row>
    <row r="28" spans="1:46" ht="18" customHeight="1" x14ac:dyDescent="0.2">
      <c r="A28" s="114" t="s">
        <v>339</v>
      </c>
      <c r="B28" s="115" t="s">
        <v>330</v>
      </c>
      <c r="C28" s="115" t="s">
        <v>305</v>
      </c>
      <c r="D28" s="116">
        <f>7671.726</f>
        <v>7671.7259999999997</v>
      </c>
      <c r="E28" s="94">
        <f>1266.188+3.786+74.954+1427.753+11459.286</f>
        <v>14231.967000000001</v>
      </c>
      <c r="F28" s="95">
        <f>1799.999+1866+122.855+152.948+5177.579</f>
        <v>9119.3809999999994</v>
      </c>
      <c r="G28" s="94">
        <v>12678.6</v>
      </c>
      <c r="H28" s="94">
        <v>28101.8</v>
      </c>
      <c r="I28" s="94">
        <v>21217.200000000001</v>
      </c>
      <c r="J28" s="94">
        <v>37461</v>
      </c>
      <c r="K28" s="96">
        <v>23735</v>
      </c>
      <c r="L28" s="96">
        <v>22025.9</v>
      </c>
      <c r="M28" s="97">
        <v>27799.3</v>
      </c>
      <c r="N28" s="94">
        <v>8834</v>
      </c>
      <c r="O28" s="94">
        <v>13498.3</v>
      </c>
      <c r="P28" s="94">
        <v>13156.9</v>
      </c>
      <c r="Q28" s="98">
        <v>21157.1</v>
      </c>
      <c r="R28" s="94">
        <v>21457.1</v>
      </c>
      <c r="S28" s="94">
        <v>21757.1</v>
      </c>
      <c r="T28" s="94">
        <v>21718.3</v>
      </c>
      <c r="U28" s="99">
        <v>9334</v>
      </c>
      <c r="V28" s="99">
        <v>15507.7</v>
      </c>
      <c r="W28" s="99">
        <v>27068.400000000001</v>
      </c>
      <c r="X28" s="99">
        <v>27520.2</v>
      </c>
      <c r="Y28" s="99">
        <v>27697.200000000001</v>
      </c>
      <c r="Z28" s="97">
        <v>27697.200000000001</v>
      </c>
      <c r="AA28" s="97">
        <v>26814.799999999999</v>
      </c>
      <c r="AB28" s="97">
        <v>26814.799999999999</v>
      </c>
      <c r="AC28" s="97">
        <v>26814.799999999999</v>
      </c>
      <c r="AD28" s="97">
        <f t="shared" si="5"/>
        <v>0</v>
      </c>
      <c r="AE28" s="97">
        <f t="shared" si="6"/>
        <v>100</v>
      </c>
      <c r="AF28" s="97">
        <f t="shared" si="7"/>
        <v>0</v>
      </c>
      <c r="AG28" s="97">
        <f t="shared" si="8"/>
        <v>100</v>
      </c>
      <c r="AH28" s="97">
        <f t="shared" si="9"/>
        <v>287.28090850653524</v>
      </c>
      <c r="AI28" s="97">
        <f t="shared" si="10"/>
        <v>100</v>
      </c>
      <c r="AJ28" s="97">
        <f t="shared" si="11"/>
        <v>123.46638549057707</v>
      </c>
      <c r="AK28" s="97">
        <f t="shared" si="12"/>
        <v>17480.8</v>
      </c>
      <c r="AL28" s="97">
        <f t="shared" si="13"/>
        <v>287.28090850653524</v>
      </c>
      <c r="AM28" s="97">
        <f t="shared" si="14"/>
        <v>19.85978435883117</v>
      </c>
      <c r="AN28" s="99">
        <v>10334.4</v>
      </c>
      <c r="AO28" s="99">
        <v>10334.4</v>
      </c>
      <c r="AP28" s="97">
        <f t="shared" si="15"/>
        <v>0</v>
      </c>
      <c r="AQ28" s="97">
        <f t="shared" si="16"/>
        <v>100</v>
      </c>
      <c r="AR28" s="97">
        <f t="shared" si="17"/>
        <v>9.2458161035949384</v>
      </c>
      <c r="AS28" s="100">
        <v>334.4</v>
      </c>
      <c r="AT28" s="101">
        <v>334.4</v>
      </c>
    </row>
    <row r="29" spans="1:46" ht="19.5" customHeight="1" x14ac:dyDescent="0.2">
      <c r="A29" s="117" t="s">
        <v>340</v>
      </c>
      <c r="B29" s="115" t="s">
        <v>330</v>
      </c>
      <c r="C29" s="115" t="s">
        <v>318</v>
      </c>
      <c r="D29" s="116">
        <f>8437.463+997.049+396.967+99.999+40.293+10778.121+7.999+149.945+399.5+3110.895+379.1</f>
        <v>24797.330999999998</v>
      </c>
      <c r="E29" s="94">
        <f>269+32.9+937.854+450+99.382+99.945+399.95+1466.972+6151.383+23.132</f>
        <v>9930.5179999999982</v>
      </c>
      <c r="F29" s="95">
        <f>924.54+470+99.945+395+1343.659+1971.986</f>
        <v>5205.13</v>
      </c>
      <c r="G29" s="94">
        <v>4282.8</v>
      </c>
      <c r="H29" s="94">
        <v>4398.3</v>
      </c>
      <c r="I29" s="94">
        <v>14730.3</v>
      </c>
      <c r="J29" s="94">
        <v>4828.3999999999996</v>
      </c>
      <c r="K29" s="96">
        <v>17366</v>
      </c>
      <c r="L29" s="96">
        <v>11363.5</v>
      </c>
      <c r="M29" s="97">
        <v>19107</v>
      </c>
      <c r="N29" s="94">
        <v>3530.8</v>
      </c>
      <c r="O29" s="94">
        <v>5821.2</v>
      </c>
      <c r="P29" s="94">
        <v>7261.3</v>
      </c>
      <c r="Q29" s="98">
        <v>8363.2999999999993</v>
      </c>
      <c r="R29" s="94">
        <v>9053.9</v>
      </c>
      <c r="S29" s="94">
        <v>9053.9</v>
      </c>
      <c r="T29" s="94">
        <v>7999.8</v>
      </c>
      <c r="U29" s="99">
        <v>8825.7999999999993</v>
      </c>
      <c r="V29" s="99">
        <v>19657.5</v>
      </c>
      <c r="W29" s="99">
        <v>20532.3</v>
      </c>
      <c r="X29" s="99">
        <v>19934.599999999999</v>
      </c>
      <c r="Y29" s="99">
        <v>20007.099999999999</v>
      </c>
      <c r="Z29" s="97">
        <v>20007.099999999999</v>
      </c>
      <c r="AA29" s="97">
        <v>20180.099999999999</v>
      </c>
      <c r="AB29" s="97">
        <v>20180.2</v>
      </c>
      <c r="AC29" s="97">
        <v>19512</v>
      </c>
      <c r="AD29" s="97">
        <f t="shared" si="5"/>
        <v>0.10000000000218279</v>
      </c>
      <c r="AE29" s="97">
        <f t="shared" si="6"/>
        <v>100.00049553768318</v>
      </c>
      <c r="AF29" s="97">
        <f t="shared" si="7"/>
        <v>-668.20000000000073</v>
      </c>
      <c r="AG29" s="97">
        <f t="shared" si="8"/>
        <v>96.688833609181273</v>
      </c>
      <c r="AH29" s="97">
        <f t="shared" si="9"/>
        <v>221.07910897595687</v>
      </c>
      <c r="AI29" s="97">
        <f t="shared" si="10"/>
        <v>96.689312738787223</v>
      </c>
      <c r="AJ29" s="97">
        <f t="shared" si="11"/>
        <v>243.9060976524413</v>
      </c>
      <c r="AK29" s="97">
        <f t="shared" si="12"/>
        <v>11354.3</v>
      </c>
      <c r="AL29" s="97">
        <f t="shared" si="13"/>
        <v>228.64896100070249</v>
      </c>
      <c r="AM29" s="97">
        <f t="shared" si="14"/>
        <v>14.451128198215679</v>
      </c>
      <c r="AN29" s="99">
        <v>4862.7</v>
      </c>
      <c r="AO29" s="99">
        <v>14862.3</v>
      </c>
      <c r="AP29" s="97">
        <f t="shared" si="15"/>
        <v>9999.5999999999985</v>
      </c>
      <c r="AQ29" s="97">
        <f t="shared" si="16"/>
        <v>305.63884261829844</v>
      </c>
      <c r="AR29" s="97">
        <f t="shared" si="17"/>
        <v>13.296765431612773</v>
      </c>
      <c r="AS29" s="100">
        <v>3557.7</v>
      </c>
      <c r="AT29" s="101">
        <v>1447.7</v>
      </c>
    </row>
    <row r="30" spans="1:46" s="89" customFormat="1" ht="18.75" customHeight="1" x14ac:dyDescent="0.2">
      <c r="A30" s="118" t="s">
        <v>341</v>
      </c>
      <c r="B30" s="119">
        <v>6</v>
      </c>
      <c r="C30" s="120"/>
      <c r="D30" s="121"/>
      <c r="E30" s="86"/>
      <c r="F30" s="122"/>
      <c r="G30" s="86"/>
      <c r="H30" s="86"/>
      <c r="I30" s="86"/>
      <c r="J30" s="86"/>
      <c r="K30" s="86">
        <f t="shared" ref="K30:P30" si="30">K31</f>
        <v>2</v>
      </c>
      <c r="L30" s="86">
        <f t="shared" si="30"/>
        <v>0</v>
      </c>
      <c r="M30" s="87">
        <f t="shared" si="30"/>
        <v>2.2000000000000002</v>
      </c>
      <c r="N30" s="86">
        <f t="shared" si="30"/>
        <v>0</v>
      </c>
      <c r="O30" s="86">
        <f t="shared" si="30"/>
        <v>0</v>
      </c>
      <c r="P30" s="86">
        <f t="shared" si="30"/>
        <v>0</v>
      </c>
      <c r="Q30" s="123"/>
      <c r="R30" s="86"/>
      <c r="S30" s="86"/>
      <c r="T30" s="86"/>
      <c r="U30" s="124"/>
      <c r="V30" s="124"/>
      <c r="W30" s="124"/>
      <c r="X30" s="124">
        <f>X31</f>
        <v>660</v>
      </c>
      <c r="Y30" s="124">
        <f>Y31</f>
        <v>660</v>
      </c>
      <c r="Z30" s="124">
        <f>Z31</f>
        <v>660</v>
      </c>
      <c r="AA30" s="124">
        <f>AA31</f>
        <v>660</v>
      </c>
      <c r="AB30" s="124">
        <f t="shared" ref="AB30:AC30" si="31">AB31</f>
        <v>660</v>
      </c>
      <c r="AC30" s="124">
        <f t="shared" si="31"/>
        <v>660</v>
      </c>
      <c r="AD30" s="87">
        <f t="shared" si="5"/>
        <v>0</v>
      </c>
      <c r="AE30" s="87">
        <f t="shared" si="6"/>
        <v>100</v>
      </c>
      <c r="AF30" s="87">
        <f t="shared" si="7"/>
        <v>0</v>
      </c>
      <c r="AG30" s="87">
        <f t="shared" si="8"/>
        <v>100</v>
      </c>
      <c r="AH30" s="87"/>
      <c r="AI30" s="87">
        <f t="shared" si="10"/>
        <v>100</v>
      </c>
      <c r="AJ30" s="87"/>
      <c r="AK30" s="87">
        <f t="shared" si="12"/>
        <v>660</v>
      </c>
      <c r="AL30" s="87"/>
      <c r="AM30" s="87">
        <f t="shared" si="14"/>
        <v>0.48881429944763988</v>
      </c>
      <c r="AN30" s="124">
        <f t="shared" ref="AN30:AT30" si="32">AN31</f>
        <v>660</v>
      </c>
      <c r="AO30" s="124">
        <f t="shared" si="32"/>
        <v>660</v>
      </c>
      <c r="AP30" s="87">
        <f t="shared" si="15"/>
        <v>0</v>
      </c>
      <c r="AQ30" s="87">
        <f t="shared" si="16"/>
        <v>100</v>
      </c>
      <c r="AR30" s="87">
        <f t="shared" si="17"/>
        <v>0.59047826950501803</v>
      </c>
      <c r="AS30" s="125">
        <f t="shared" si="32"/>
        <v>0</v>
      </c>
      <c r="AT30" s="125">
        <f t="shared" si="32"/>
        <v>0</v>
      </c>
    </row>
    <row r="31" spans="1:46" ht="27" customHeight="1" x14ac:dyDescent="0.2">
      <c r="A31" s="126" t="s">
        <v>342</v>
      </c>
      <c r="B31" s="127">
        <v>6</v>
      </c>
      <c r="C31" s="128">
        <v>5</v>
      </c>
      <c r="D31" s="116"/>
      <c r="E31" s="94"/>
      <c r="F31" s="95"/>
      <c r="G31" s="94"/>
      <c r="H31" s="94"/>
      <c r="I31" s="94"/>
      <c r="J31" s="94"/>
      <c r="K31" s="96">
        <v>2</v>
      </c>
      <c r="L31" s="96"/>
      <c r="M31" s="97">
        <v>2.2000000000000002</v>
      </c>
      <c r="N31" s="94"/>
      <c r="O31" s="94"/>
      <c r="P31" s="94"/>
      <c r="Q31" s="98"/>
      <c r="R31" s="94"/>
      <c r="S31" s="94"/>
      <c r="T31" s="94"/>
      <c r="U31" s="99"/>
      <c r="V31" s="99"/>
      <c r="W31" s="99"/>
      <c r="X31" s="99">
        <v>660</v>
      </c>
      <c r="Y31" s="99">
        <v>660</v>
      </c>
      <c r="Z31" s="97">
        <v>660</v>
      </c>
      <c r="AA31" s="97">
        <v>660</v>
      </c>
      <c r="AB31" s="97">
        <v>660</v>
      </c>
      <c r="AC31" s="97">
        <v>660</v>
      </c>
      <c r="AD31" s="97">
        <f t="shared" si="5"/>
        <v>0</v>
      </c>
      <c r="AE31" s="97">
        <f t="shared" si="6"/>
        <v>100</v>
      </c>
      <c r="AF31" s="97">
        <f t="shared" si="7"/>
        <v>0</v>
      </c>
      <c r="AG31" s="97">
        <f t="shared" si="8"/>
        <v>100</v>
      </c>
      <c r="AH31" s="97"/>
      <c r="AI31" s="97">
        <f t="shared" si="10"/>
        <v>100</v>
      </c>
      <c r="AJ31" s="97"/>
      <c r="AK31" s="97">
        <f t="shared" si="12"/>
        <v>660</v>
      </c>
      <c r="AL31" s="97"/>
      <c r="AM31" s="97">
        <f t="shared" si="14"/>
        <v>0.48881429944763988</v>
      </c>
      <c r="AN31" s="99">
        <v>660</v>
      </c>
      <c r="AO31" s="99">
        <v>660</v>
      </c>
      <c r="AP31" s="97">
        <f t="shared" si="15"/>
        <v>0</v>
      </c>
      <c r="AQ31" s="97">
        <f t="shared" si="16"/>
        <v>100</v>
      </c>
      <c r="AR31" s="97">
        <f t="shared" si="17"/>
        <v>0.59047826950501803</v>
      </c>
      <c r="AS31" s="100"/>
      <c r="AT31" s="101">
        <v>0</v>
      </c>
    </row>
    <row r="32" spans="1:46" s="89" customFormat="1" ht="18" hidden="1" customHeight="1" x14ac:dyDescent="0.2">
      <c r="A32" s="129" t="s">
        <v>343</v>
      </c>
      <c r="B32" s="130" t="s">
        <v>311</v>
      </c>
      <c r="C32" s="130"/>
      <c r="D32" s="121">
        <f>D33</f>
        <v>6243.139000000001</v>
      </c>
      <c r="E32" s="86">
        <f>E33</f>
        <v>4721.3010000000004</v>
      </c>
      <c r="F32" s="86">
        <f t="shared" ref="F32:J32" si="33">F33</f>
        <v>4940.8340000000007</v>
      </c>
      <c r="G32" s="86">
        <f t="shared" si="33"/>
        <v>0</v>
      </c>
      <c r="H32" s="86">
        <f t="shared" si="33"/>
        <v>0</v>
      </c>
      <c r="I32" s="86">
        <f t="shared" si="33"/>
        <v>0</v>
      </c>
      <c r="J32" s="86">
        <f t="shared" si="33"/>
        <v>241.7</v>
      </c>
      <c r="K32" s="86">
        <f>K33</f>
        <v>0</v>
      </c>
      <c r="L32" s="131"/>
      <c r="M32" s="97"/>
      <c r="N32" s="94"/>
      <c r="O32" s="94"/>
      <c r="P32" s="94"/>
      <c r="Q32" s="98"/>
      <c r="R32" s="94"/>
      <c r="S32" s="94"/>
      <c r="T32" s="94"/>
      <c r="U32" s="99"/>
      <c r="V32" s="99"/>
      <c r="W32" s="99"/>
      <c r="X32" s="99"/>
      <c r="Y32" s="99"/>
      <c r="Z32" s="97"/>
      <c r="AA32" s="97"/>
      <c r="AB32" s="97">
        <f t="shared" ref="AB32:AB55" si="34">AA32-Y32</f>
        <v>0</v>
      </c>
      <c r="AC32" s="97" t="e">
        <f t="shared" ref="AC32:AC55" si="35">AA32/Y32*100</f>
        <v>#DIV/0!</v>
      </c>
      <c r="AD32" s="97">
        <f t="shared" si="5"/>
        <v>0</v>
      </c>
      <c r="AE32" s="97" t="e">
        <f t="shared" si="6"/>
        <v>#DIV/0!</v>
      </c>
      <c r="AF32" s="97" t="e">
        <f t="shared" si="7"/>
        <v>#DIV/0!</v>
      </c>
      <c r="AG32" s="97" t="e">
        <f t="shared" si="8"/>
        <v>#DIV/0!</v>
      </c>
      <c r="AH32" s="97" t="e">
        <f t="shared" si="9"/>
        <v>#DIV/0!</v>
      </c>
      <c r="AI32" s="97" t="e">
        <f t="shared" si="10"/>
        <v>#DIV/0!</v>
      </c>
      <c r="AJ32" s="97" t="e">
        <f t="shared" si="11"/>
        <v>#DIV/0!</v>
      </c>
      <c r="AK32" s="97">
        <f t="shared" si="12"/>
        <v>0</v>
      </c>
      <c r="AL32" s="97" t="e">
        <f t="shared" si="13"/>
        <v>#DIV/0!</v>
      </c>
      <c r="AM32" s="97" t="e">
        <f t="shared" si="14"/>
        <v>#DIV/0!</v>
      </c>
      <c r="AN32" s="99"/>
      <c r="AO32" s="99"/>
      <c r="AP32" s="97">
        <f t="shared" si="15"/>
        <v>0</v>
      </c>
      <c r="AQ32" s="97" t="e">
        <f t="shared" si="16"/>
        <v>#DIV/0!</v>
      </c>
      <c r="AR32" s="97">
        <f t="shared" si="17"/>
        <v>0</v>
      </c>
      <c r="AS32" s="100"/>
      <c r="AT32" s="101"/>
    </row>
    <row r="33" spans="1:46" ht="20.399999999999999" hidden="1" x14ac:dyDescent="0.2">
      <c r="A33" s="117" t="s">
        <v>344</v>
      </c>
      <c r="B33" s="115" t="s">
        <v>311</v>
      </c>
      <c r="C33" s="115" t="s">
        <v>311</v>
      </c>
      <c r="D33" s="116">
        <f>24+1805.214+48.679+606.864+139.3+30.567+601.902+2207.79+44.672+101.837+132.314+500</f>
        <v>6243.139000000001</v>
      </c>
      <c r="E33" s="94">
        <f>28+2420.358+714.335+16.426+104.707+1.931+525.919+63+451.916+70.212+59.5+12.2+224.496+28.301</f>
        <v>4721.3010000000004</v>
      </c>
      <c r="F33" s="95">
        <f>1.8+31.5+84.79+2595.277+773.5+77.541+121.999+45.98+34.69+78.737+409.955+10+209.674+6.572+96.6+40.13+274.166+47.923</f>
        <v>4940.8340000000007</v>
      </c>
      <c r="G33" s="94">
        <v>0</v>
      </c>
      <c r="H33" s="94">
        <v>0</v>
      </c>
      <c r="I33" s="94"/>
      <c r="J33" s="94">
        <v>241.7</v>
      </c>
      <c r="K33" s="96"/>
      <c r="L33" s="96"/>
      <c r="M33" s="97"/>
      <c r="N33" s="94"/>
      <c r="O33" s="94"/>
      <c r="P33" s="94"/>
      <c r="Q33" s="98"/>
      <c r="R33" s="94"/>
      <c r="S33" s="94"/>
      <c r="T33" s="94"/>
      <c r="U33" s="99"/>
      <c r="V33" s="99"/>
      <c r="W33" s="99"/>
      <c r="X33" s="99"/>
      <c r="Y33" s="99"/>
      <c r="Z33" s="97"/>
      <c r="AA33" s="97"/>
      <c r="AB33" s="97">
        <f t="shared" si="34"/>
        <v>0</v>
      </c>
      <c r="AC33" s="97" t="e">
        <f t="shared" si="35"/>
        <v>#DIV/0!</v>
      </c>
      <c r="AD33" s="97">
        <f t="shared" si="5"/>
        <v>0</v>
      </c>
      <c r="AE33" s="97" t="e">
        <f t="shared" si="6"/>
        <v>#DIV/0!</v>
      </c>
      <c r="AF33" s="97" t="e">
        <f t="shared" si="7"/>
        <v>#DIV/0!</v>
      </c>
      <c r="AG33" s="97" t="e">
        <f t="shared" si="8"/>
        <v>#DIV/0!</v>
      </c>
      <c r="AH33" s="97" t="e">
        <f t="shared" si="9"/>
        <v>#DIV/0!</v>
      </c>
      <c r="AI33" s="97" t="e">
        <f t="shared" si="10"/>
        <v>#DIV/0!</v>
      </c>
      <c r="AJ33" s="97" t="e">
        <f t="shared" si="11"/>
        <v>#DIV/0!</v>
      </c>
      <c r="AK33" s="97">
        <f t="shared" si="12"/>
        <v>0</v>
      </c>
      <c r="AL33" s="97" t="e">
        <f t="shared" si="13"/>
        <v>#DIV/0!</v>
      </c>
      <c r="AM33" s="97" t="e">
        <f t="shared" si="14"/>
        <v>#DIV/0!</v>
      </c>
      <c r="AN33" s="99"/>
      <c r="AO33" s="99"/>
      <c r="AP33" s="97">
        <f t="shared" si="15"/>
        <v>0</v>
      </c>
      <c r="AQ33" s="97" t="e">
        <f t="shared" si="16"/>
        <v>#DIV/0!</v>
      </c>
      <c r="AR33" s="97">
        <f t="shared" si="17"/>
        <v>0</v>
      </c>
      <c r="AS33" s="100"/>
      <c r="AT33" s="101"/>
    </row>
    <row r="34" spans="1:46" s="89" customFormat="1" ht="21.75" customHeight="1" x14ac:dyDescent="0.2">
      <c r="A34" s="129" t="s">
        <v>345</v>
      </c>
      <c r="B34" s="130" t="s">
        <v>332</v>
      </c>
      <c r="C34" s="130"/>
      <c r="D34" s="121">
        <f t="shared" ref="D34" si="36">D35+D36+D37</f>
        <v>14813.585000000005</v>
      </c>
      <c r="E34" s="86">
        <f>E35+E36+E37</f>
        <v>19155.42600000001</v>
      </c>
      <c r="F34" s="86">
        <f t="shared" ref="F34:AT34" si="37">F35+F36+F37</f>
        <v>24077.956000000009</v>
      </c>
      <c r="G34" s="86">
        <f t="shared" si="37"/>
        <v>23405.8</v>
      </c>
      <c r="H34" s="86">
        <f t="shared" si="37"/>
        <v>27403.3</v>
      </c>
      <c r="I34" s="86">
        <f t="shared" si="37"/>
        <v>24753.8</v>
      </c>
      <c r="J34" s="86">
        <f t="shared" si="37"/>
        <v>24740.799999999999</v>
      </c>
      <c r="K34" s="86">
        <f t="shared" si="37"/>
        <v>26235.1</v>
      </c>
      <c r="L34" s="86">
        <f t="shared" si="37"/>
        <v>27764.3</v>
      </c>
      <c r="M34" s="87">
        <f t="shared" si="37"/>
        <v>22993.7</v>
      </c>
      <c r="N34" s="86">
        <f t="shared" si="37"/>
        <v>20088.5</v>
      </c>
      <c r="O34" s="86">
        <f t="shared" si="37"/>
        <v>20208.5</v>
      </c>
      <c r="P34" s="86">
        <f t="shared" si="37"/>
        <v>20208.5</v>
      </c>
      <c r="Q34" s="86">
        <f t="shared" si="37"/>
        <v>20208.5</v>
      </c>
      <c r="R34" s="86">
        <f t="shared" si="37"/>
        <v>22154.799999999999</v>
      </c>
      <c r="S34" s="86">
        <f t="shared" si="37"/>
        <v>22154.799999999999</v>
      </c>
      <c r="T34" s="86">
        <f t="shared" si="37"/>
        <v>21064.2</v>
      </c>
      <c r="U34" s="87">
        <f t="shared" si="37"/>
        <v>21127.200000000001</v>
      </c>
      <c r="V34" s="87">
        <f t="shared" si="37"/>
        <v>21665.8</v>
      </c>
      <c r="W34" s="87">
        <f t="shared" si="37"/>
        <v>21196.6</v>
      </c>
      <c r="X34" s="87">
        <f t="shared" si="37"/>
        <v>21619.9</v>
      </c>
      <c r="Y34" s="87">
        <f t="shared" si="37"/>
        <v>22108.5</v>
      </c>
      <c r="Z34" s="87">
        <f t="shared" si="37"/>
        <v>22108.5</v>
      </c>
      <c r="AA34" s="87">
        <f t="shared" si="37"/>
        <v>23894.2</v>
      </c>
      <c r="AB34" s="87">
        <f t="shared" si="37"/>
        <v>23894.2</v>
      </c>
      <c r="AC34" s="87">
        <f t="shared" si="37"/>
        <v>23894.2</v>
      </c>
      <c r="AD34" s="87">
        <f t="shared" si="5"/>
        <v>0</v>
      </c>
      <c r="AE34" s="87">
        <f t="shared" si="6"/>
        <v>100</v>
      </c>
      <c r="AF34" s="87">
        <f t="shared" si="7"/>
        <v>0</v>
      </c>
      <c r="AG34" s="87">
        <f t="shared" si="8"/>
        <v>100</v>
      </c>
      <c r="AH34" s="87">
        <f t="shared" si="9"/>
        <v>113.09686091862623</v>
      </c>
      <c r="AI34" s="87">
        <f t="shared" si="10"/>
        <v>100</v>
      </c>
      <c r="AJ34" s="87">
        <f t="shared" si="11"/>
        <v>113.43511740298706</v>
      </c>
      <c r="AK34" s="87">
        <f t="shared" si="12"/>
        <v>2767</v>
      </c>
      <c r="AL34" s="87">
        <f t="shared" si="13"/>
        <v>113.09686091862623</v>
      </c>
      <c r="AM34" s="87">
        <f t="shared" si="14"/>
        <v>17.696707021002723</v>
      </c>
      <c r="AN34" s="87">
        <f t="shared" si="37"/>
        <v>24221.5</v>
      </c>
      <c r="AO34" s="87">
        <f t="shared" si="37"/>
        <v>24221.5</v>
      </c>
      <c r="AP34" s="87">
        <f t="shared" si="15"/>
        <v>0</v>
      </c>
      <c r="AQ34" s="87">
        <f t="shared" si="16"/>
        <v>100</v>
      </c>
      <c r="AR34" s="87">
        <f t="shared" si="17"/>
        <v>21.670105158811811</v>
      </c>
      <c r="AS34" s="88">
        <f t="shared" si="37"/>
        <v>22293.9</v>
      </c>
      <c r="AT34" s="88">
        <f t="shared" si="37"/>
        <v>22293.9</v>
      </c>
    </row>
    <row r="35" spans="1:46" ht="18" customHeight="1" x14ac:dyDescent="0.2">
      <c r="A35" s="117" t="s">
        <v>346</v>
      </c>
      <c r="B35" s="115" t="s">
        <v>332</v>
      </c>
      <c r="C35" s="115" t="s">
        <v>303</v>
      </c>
      <c r="D35" s="116">
        <f>8420.835+128.832+2503.798+99.422+8.69+684.153+12+270.993+203.094+210.905+335.938+88.93+900.164+23.296+306.451+30+23.591+1.494+35.987+4.78+2.232+59.45+62.15+45.4+74+6</f>
        <v>14542.585000000005</v>
      </c>
      <c r="E35" s="94">
        <f>71+47.11+48.89+10369.425+2819.567+220.288+95+135.456+3.075+141.649+568.459+102.613+290.565+396.199+575.322+187.931+1068.776+319.147+9.9+40.303+5.58+99.08+16.708+1.522+44.935+19+346.041+16.639+2.5+76.376+245.31+106.06</f>
        <v>18490.42600000001</v>
      </c>
      <c r="F35" s="95">
        <f>81+95.3+31.7+11873.941+3095.295+252.946+115.127+137.095+529.895+56.884+172.457+375.788+324.897+115.793+1045.167+400.665+2364.58+273.77+1174.159+348.872+13.114+62.26+15.812+1.03+14+775.727+12+3.062+43.927+5.525+50+15.188+94.08</f>
        <v>23971.056000000008</v>
      </c>
      <c r="G35" s="94">
        <v>23151.8</v>
      </c>
      <c r="H35" s="94">
        <v>27153.3</v>
      </c>
      <c r="I35" s="94">
        <v>24738.799999999999</v>
      </c>
      <c r="J35" s="94">
        <v>24628.799999999999</v>
      </c>
      <c r="K35" s="96">
        <v>25235.1</v>
      </c>
      <c r="L35" s="96">
        <v>27764.3</v>
      </c>
      <c r="M35" s="97">
        <v>22818.7</v>
      </c>
      <c r="N35" s="94">
        <v>20088.5</v>
      </c>
      <c r="O35" s="94">
        <v>19886</v>
      </c>
      <c r="P35" s="94">
        <v>19886</v>
      </c>
      <c r="Q35" s="98">
        <v>19886</v>
      </c>
      <c r="R35" s="94">
        <v>21832.3</v>
      </c>
      <c r="S35" s="94">
        <v>21832.3</v>
      </c>
      <c r="T35" s="94">
        <v>20741.7</v>
      </c>
      <c r="U35" s="99">
        <v>20810.2</v>
      </c>
      <c r="V35" s="99">
        <v>21348.799999999999</v>
      </c>
      <c r="W35" s="99">
        <v>20854.599999999999</v>
      </c>
      <c r="X35" s="99">
        <v>21277.9</v>
      </c>
      <c r="Y35" s="99">
        <v>21766.5</v>
      </c>
      <c r="Z35" s="97">
        <v>21766.5</v>
      </c>
      <c r="AA35" s="97">
        <v>23534.5</v>
      </c>
      <c r="AB35" s="97">
        <v>23534.5</v>
      </c>
      <c r="AC35" s="97">
        <v>23534.5</v>
      </c>
      <c r="AD35" s="97">
        <f t="shared" si="5"/>
        <v>0</v>
      </c>
      <c r="AE35" s="97">
        <f t="shared" si="6"/>
        <v>100</v>
      </c>
      <c r="AF35" s="97">
        <f t="shared" si="7"/>
        <v>0</v>
      </c>
      <c r="AG35" s="97">
        <f t="shared" si="8"/>
        <v>100</v>
      </c>
      <c r="AH35" s="97">
        <f t="shared" si="9"/>
        <v>113.09117644232154</v>
      </c>
      <c r="AI35" s="97">
        <f t="shared" si="10"/>
        <v>100</v>
      </c>
      <c r="AJ35" s="97">
        <f t="shared" si="11"/>
        <v>113.46466297362319</v>
      </c>
      <c r="AK35" s="97">
        <f t="shared" si="12"/>
        <v>2724.2999999999993</v>
      </c>
      <c r="AL35" s="97">
        <f t="shared" si="13"/>
        <v>113.09117644232154</v>
      </c>
      <c r="AM35" s="97">
        <f t="shared" si="14"/>
        <v>17.430303227803755</v>
      </c>
      <c r="AN35" s="99">
        <v>23322.6</v>
      </c>
      <c r="AO35" s="99">
        <v>23322.6</v>
      </c>
      <c r="AP35" s="97">
        <f t="shared" si="15"/>
        <v>0</v>
      </c>
      <c r="AQ35" s="97">
        <f t="shared" si="16"/>
        <v>100</v>
      </c>
      <c r="AR35" s="97">
        <f t="shared" si="17"/>
        <v>20.865891649026867</v>
      </c>
      <c r="AS35" s="100">
        <v>21895</v>
      </c>
      <c r="AT35" s="101">
        <v>21895</v>
      </c>
    </row>
    <row r="36" spans="1:46" ht="16.5" hidden="1" customHeight="1" x14ac:dyDescent="0.2">
      <c r="A36" s="132" t="s">
        <v>347</v>
      </c>
      <c r="B36" s="115" t="s">
        <v>332</v>
      </c>
      <c r="C36" s="115" t="s">
        <v>305</v>
      </c>
      <c r="D36" s="116">
        <v>0</v>
      </c>
      <c r="E36" s="94">
        <v>0</v>
      </c>
      <c r="F36" s="92" t="s">
        <v>348</v>
      </c>
      <c r="G36" s="94"/>
      <c r="H36" s="94"/>
      <c r="I36" s="94"/>
      <c r="J36" s="94"/>
      <c r="K36" s="96"/>
      <c r="L36" s="96"/>
      <c r="M36" s="97">
        <v>100</v>
      </c>
      <c r="N36" s="94"/>
      <c r="O36" s="94">
        <v>0</v>
      </c>
      <c r="P36" s="94"/>
      <c r="Q36" s="98"/>
      <c r="R36" s="94"/>
      <c r="S36" s="94"/>
      <c r="T36" s="94"/>
      <c r="U36" s="99"/>
      <c r="V36" s="99"/>
      <c r="W36" s="99"/>
      <c r="X36" s="99"/>
      <c r="Y36" s="99"/>
      <c r="Z36" s="97"/>
      <c r="AA36" s="97"/>
      <c r="AB36" s="97"/>
      <c r="AC36" s="97"/>
      <c r="AD36" s="97">
        <f t="shared" si="5"/>
        <v>0</v>
      </c>
      <c r="AE36" s="97" t="e">
        <f t="shared" si="6"/>
        <v>#DIV/0!</v>
      </c>
      <c r="AF36" s="97">
        <f t="shared" si="7"/>
        <v>0</v>
      </c>
      <c r="AG36" s="97" t="e">
        <f t="shared" si="8"/>
        <v>#DIV/0!</v>
      </c>
      <c r="AH36" s="97" t="e">
        <f t="shared" si="9"/>
        <v>#DIV/0!</v>
      </c>
      <c r="AI36" s="97" t="e">
        <f t="shared" si="10"/>
        <v>#DIV/0!</v>
      </c>
      <c r="AJ36" s="97" t="e">
        <f t="shared" si="11"/>
        <v>#DIV/0!</v>
      </c>
      <c r="AK36" s="97">
        <f t="shared" si="12"/>
        <v>0</v>
      </c>
      <c r="AL36" s="97" t="e">
        <f t="shared" si="13"/>
        <v>#DIV/0!</v>
      </c>
      <c r="AM36" s="97">
        <f t="shared" si="14"/>
        <v>0</v>
      </c>
      <c r="AN36" s="99"/>
      <c r="AO36" s="99"/>
      <c r="AP36" s="97">
        <f t="shared" si="15"/>
        <v>0</v>
      </c>
      <c r="AQ36" s="97" t="e">
        <f t="shared" si="16"/>
        <v>#DIV/0!</v>
      </c>
      <c r="AR36" s="97">
        <f t="shared" si="17"/>
        <v>0</v>
      </c>
      <c r="AS36" s="100"/>
      <c r="AT36" s="101"/>
    </row>
    <row r="37" spans="1:46" ht="27" customHeight="1" x14ac:dyDescent="0.2">
      <c r="A37" s="133" t="s">
        <v>349</v>
      </c>
      <c r="B37" s="134" t="s">
        <v>332</v>
      </c>
      <c r="C37" s="135" t="s">
        <v>307</v>
      </c>
      <c r="D37" s="93">
        <f>153.99+98.2+7.475+11.335</f>
        <v>271</v>
      </c>
      <c r="E37" s="94">
        <f>7.21+350+9.9+282.89+15</f>
        <v>665</v>
      </c>
      <c r="F37" s="95">
        <v>106.9</v>
      </c>
      <c r="G37" s="94">
        <v>254</v>
      </c>
      <c r="H37" s="94">
        <v>250</v>
      </c>
      <c r="I37" s="94">
        <v>15</v>
      </c>
      <c r="J37" s="94">
        <v>112</v>
      </c>
      <c r="K37" s="96">
        <v>1000</v>
      </c>
      <c r="L37" s="96"/>
      <c r="M37" s="97">
        <v>75</v>
      </c>
      <c r="N37" s="94"/>
      <c r="O37" s="94">
        <v>322.5</v>
      </c>
      <c r="P37" s="94">
        <v>322.5</v>
      </c>
      <c r="Q37" s="98">
        <v>322.5</v>
      </c>
      <c r="R37" s="94">
        <v>322.5</v>
      </c>
      <c r="S37" s="94">
        <v>322.5</v>
      </c>
      <c r="T37" s="94">
        <v>322.5</v>
      </c>
      <c r="U37" s="99">
        <v>317</v>
      </c>
      <c r="V37" s="99">
        <v>317</v>
      </c>
      <c r="W37" s="99">
        <v>342</v>
      </c>
      <c r="X37" s="99">
        <v>342</v>
      </c>
      <c r="Y37" s="99">
        <v>342</v>
      </c>
      <c r="Z37" s="97">
        <v>342</v>
      </c>
      <c r="AA37" s="97">
        <v>359.7</v>
      </c>
      <c r="AB37" s="97">
        <v>359.7</v>
      </c>
      <c r="AC37" s="97">
        <v>359.7</v>
      </c>
      <c r="AD37" s="97">
        <f t="shared" si="5"/>
        <v>0</v>
      </c>
      <c r="AE37" s="97">
        <f t="shared" si="6"/>
        <v>100</v>
      </c>
      <c r="AF37" s="97">
        <f t="shared" si="7"/>
        <v>0</v>
      </c>
      <c r="AG37" s="97">
        <f t="shared" si="8"/>
        <v>100</v>
      </c>
      <c r="AH37" s="97">
        <f t="shared" si="9"/>
        <v>113.47003154574131</v>
      </c>
      <c r="AI37" s="97">
        <f t="shared" si="10"/>
        <v>100</v>
      </c>
      <c r="AJ37" s="97">
        <f t="shared" si="11"/>
        <v>111.53488372093024</v>
      </c>
      <c r="AK37" s="97">
        <f t="shared" si="12"/>
        <v>42.699999999999989</v>
      </c>
      <c r="AL37" s="97">
        <f t="shared" si="13"/>
        <v>113.47003154574131</v>
      </c>
      <c r="AM37" s="97">
        <f t="shared" si="14"/>
        <v>0.26640379319896373</v>
      </c>
      <c r="AN37" s="99">
        <v>898.9</v>
      </c>
      <c r="AO37" s="99">
        <v>898.9</v>
      </c>
      <c r="AP37" s="97">
        <f t="shared" si="15"/>
        <v>0</v>
      </c>
      <c r="AQ37" s="97">
        <f t="shared" si="16"/>
        <v>100</v>
      </c>
      <c r="AR37" s="97">
        <f t="shared" si="17"/>
        <v>0.80421350978494044</v>
      </c>
      <c r="AS37" s="100">
        <v>398.9</v>
      </c>
      <c r="AT37" s="101">
        <v>398.9</v>
      </c>
    </row>
    <row r="38" spans="1:46" s="89" customFormat="1" ht="17.25" hidden="1" customHeight="1" x14ac:dyDescent="0.2">
      <c r="A38" s="136" t="s">
        <v>350</v>
      </c>
      <c r="B38" s="137" t="s">
        <v>322</v>
      </c>
      <c r="C38" s="137"/>
      <c r="D38" s="85"/>
      <c r="E38" s="86"/>
      <c r="F38" s="122"/>
      <c r="G38" s="86"/>
      <c r="H38" s="86"/>
      <c r="I38" s="86"/>
      <c r="J38" s="86"/>
      <c r="K38" s="131"/>
      <c r="L38" s="131"/>
      <c r="M38" s="138">
        <f t="shared" ref="M38:P38" si="38">M39</f>
        <v>6.5</v>
      </c>
      <c r="N38" s="131">
        <f t="shared" si="38"/>
        <v>0</v>
      </c>
      <c r="O38" s="131">
        <f t="shared" si="38"/>
        <v>0</v>
      </c>
      <c r="P38" s="131">
        <f t="shared" si="38"/>
        <v>0</v>
      </c>
      <c r="Q38" s="123"/>
      <c r="R38" s="94"/>
      <c r="S38" s="94"/>
      <c r="T38" s="94"/>
      <c r="U38" s="124"/>
      <c r="V38" s="124"/>
      <c r="W38" s="124"/>
      <c r="X38" s="124"/>
      <c r="Y38" s="124"/>
      <c r="Z38" s="97"/>
      <c r="AA38" s="97"/>
      <c r="AB38" s="97">
        <f t="shared" si="34"/>
        <v>0</v>
      </c>
      <c r="AC38" s="97" t="e">
        <f t="shared" si="35"/>
        <v>#DIV/0!</v>
      </c>
      <c r="AD38" s="97">
        <f t="shared" si="5"/>
        <v>0</v>
      </c>
      <c r="AE38" s="97" t="e">
        <f t="shared" si="6"/>
        <v>#DIV/0!</v>
      </c>
      <c r="AF38" s="97" t="e">
        <f t="shared" si="7"/>
        <v>#DIV/0!</v>
      </c>
      <c r="AG38" s="97" t="e">
        <f t="shared" si="8"/>
        <v>#DIV/0!</v>
      </c>
      <c r="AH38" s="97" t="e">
        <f t="shared" si="9"/>
        <v>#DIV/0!</v>
      </c>
      <c r="AI38" s="97" t="e">
        <f t="shared" si="10"/>
        <v>#DIV/0!</v>
      </c>
      <c r="AJ38" s="97" t="e">
        <f t="shared" si="11"/>
        <v>#DIV/0!</v>
      </c>
      <c r="AK38" s="97">
        <f t="shared" si="12"/>
        <v>0</v>
      </c>
      <c r="AL38" s="97" t="e">
        <f t="shared" si="13"/>
        <v>#DIV/0!</v>
      </c>
      <c r="AM38" s="97" t="e">
        <f t="shared" si="14"/>
        <v>#DIV/0!</v>
      </c>
      <c r="AN38" s="124"/>
      <c r="AO38" s="124"/>
      <c r="AP38" s="97">
        <f t="shared" si="15"/>
        <v>0</v>
      </c>
      <c r="AQ38" s="97" t="e">
        <f t="shared" si="16"/>
        <v>#DIV/0!</v>
      </c>
      <c r="AR38" s="97">
        <f t="shared" si="17"/>
        <v>0</v>
      </c>
      <c r="AS38" s="125"/>
      <c r="AT38" s="101"/>
    </row>
    <row r="39" spans="1:46" ht="36.75" hidden="1" customHeight="1" x14ac:dyDescent="0.2">
      <c r="A39" s="139" t="s">
        <v>351</v>
      </c>
      <c r="B39" s="108" t="s">
        <v>322</v>
      </c>
      <c r="C39" s="108" t="s">
        <v>311</v>
      </c>
      <c r="D39" s="93"/>
      <c r="E39" s="94"/>
      <c r="F39" s="95"/>
      <c r="G39" s="94"/>
      <c r="H39" s="94"/>
      <c r="I39" s="94"/>
      <c r="J39" s="94"/>
      <c r="K39" s="96"/>
      <c r="L39" s="96"/>
      <c r="M39" s="97">
        <v>6.5</v>
      </c>
      <c r="N39" s="94"/>
      <c r="O39" s="94"/>
      <c r="P39" s="94"/>
      <c r="Q39" s="98"/>
      <c r="R39" s="94"/>
      <c r="S39" s="94"/>
      <c r="T39" s="94"/>
      <c r="U39" s="99"/>
      <c r="V39" s="99"/>
      <c r="W39" s="99"/>
      <c r="X39" s="99"/>
      <c r="Y39" s="99"/>
      <c r="Z39" s="97"/>
      <c r="AA39" s="97"/>
      <c r="AB39" s="97">
        <f t="shared" si="34"/>
        <v>0</v>
      </c>
      <c r="AC39" s="97" t="e">
        <f t="shared" si="35"/>
        <v>#DIV/0!</v>
      </c>
      <c r="AD39" s="97">
        <f t="shared" si="5"/>
        <v>0</v>
      </c>
      <c r="AE39" s="97" t="e">
        <f t="shared" si="6"/>
        <v>#DIV/0!</v>
      </c>
      <c r="AF39" s="97" t="e">
        <f t="shared" si="7"/>
        <v>#DIV/0!</v>
      </c>
      <c r="AG39" s="97" t="e">
        <f t="shared" si="8"/>
        <v>#DIV/0!</v>
      </c>
      <c r="AH39" s="97" t="e">
        <f t="shared" si="9"/>
        <v>#DIV/0!</v>
      </c>
      <c r="AI39" s="97" t="e">
        <f t="shared" si="10"/>
        <v>#DIV/0!</v>
      </c>
      <c r="AJ39" s="97" t="e">
        <f t="shared" si="11"/>
        <v>#DIV/0!</v>
      </c>
      <c r="AK39" s="97">
        <f t="shared" si="12"/>
        <v>0</v>
      </c>
      <c r="AL39" s="97" t="e">
        <f t="shared" si="13"/>
        <v>#DIV/0!</v>
      </c>
      <c r="AM39" s="97" t="e">
        <f t="shared" si="14"/>
        <v>#DIV/0!</v>
      </c>
      <c r="AN39" s="99"/>
      <c r="AO39" s="99"/>
      <c r="AP39" s="97">
        <f t="shared" si="15"/>
        <v>0</v>
      </c>
      <c r="AQ39" s="97" t="e">
        <f t="shared" si="16"/>
        <v>#DIV/0!</v>
      </c>
      <c r="AR39" s="97">
        <f t="shared" si="17"/>
        <v>0</v>
      </c>
      <c r="AS39" s="100"/>
      <c r="AT39" s="101"/>
    </row>
    <row r="40" spans="1:46" s="89" customFormat="1" ht="21" customHeight="1" x14ac:dyDescent="0.2">
      <c r="A40" s="140" t="s">
        <v>352</v>
      </c>
      <c r="B40" s="84" t="s">
        <v>324</v>
      </c>
      <c r="C40" s="141"/>
      <c r="D40" s="141">
        <f t="shared" ref="D40:J40" si="39">D41</f>
        <v>0</v>
      </c>
      <c r="E40" s="141">
        <f t="shared" si="39"/>
        <v>0</v>
      </c>
      <c r="F40" s="141">
        <f t="shared" si="39"/>
        <v>48.225000000000001</v>
      </c>
      <c r="G40" s="141">
        <f t="shared" si="39"/>
        <v>25</v>
      </c>
      <c r="H40" s="141">
        <f t="shared" si="39"/>
        <v>0</v>
      </c>
      <c r="I40" s="141">
        <f t="shared" si="39"/>
        <v>0</v>
      </c>
      <c r="J40" s="141">
        <f t="shared" si="39"/>
        <v>0</v>
      </c>
      <c r="K40" s="141">
        <f>K41</f>
        <v>15</v>
      </c>
      <c r="L40" s="141">
        <f t="shared" ref="L40:O40" si="40">L41+L42</f>
        <v>180</v>
      </c>
      <c r="M40" s="142">
        <f t="shared" si="40"/>
        <v>135</v>
      </c>
      <c r="N40" s="141">
        <f t="shared" si="40"/>
        <v>120</v>
      </c>
      <c r="O40" s="141">
        <f t="shared" si="40"/>
        <v>120</v>
      </c>
      <c r="P40" s="141">
        <f>P41+P42</f>
        <v>120</v>
      </c>
      <c r="Q40" s="141">
        <f t="shared" ref="Q40:AT40" si="41">Q41+Q42</f>
        <v>120</v>
      </c>
      <c r="R40" s="141">
        <f t="shared" si="41"/>
        <v>125</v>
      </c>
      <c r="S40" s="141">
        <f t="shared" si="41"/>
        <v>125</v>
      </c>
      <c r="T40" s="141">
        <f t="shared" si="41"/>
        <v>125</v>
      </c>
      <c r="U40" s="142">
        <f t="shared" si="41"/>
        <v>120</v>
      </c>
      <c r="V40" s="142">
        <f t="shared" si="41"/>
        <v>120</v>
      </c>
      <c r="W40" s="142">
        <f t="shared" si="41"/>
        <v>120</v>
      </c>
      <c r="X40" s="142">
        <f t="shared" si="41"/>
        <v>120</v>
      </c>
      <c r="Y40" s="142">
        <f t="shared" si="41"/>
        <v>120</v>
      </c>
      <c r="Z40" s="142">
        <f>Z41+Z42</f>
        <v>120</v>
      </c>
      <c r="AA40" s="142">
        <f>AA41+AA42</f>
        <v>125</v>
      </c>
      <c r="AB40" s="142">
        <f>AB41</f>
        <v>125</v>
      </c>
      <c r="AC40" s="142">
        <f>AC41</f>
        <v>125</v>
      </c>
      <c r="AD40" s="87">
        <f t="shared" si="5"/>
        <v>0</v>
      </c>
      <c r="AE40" s="87">
        <f t="shared" si="6"/>
        <v>100</v>
      </c>
      <c r="AF40" s="87">
        <f t="shared" si="7"/>
        <v>0</v>
      </c>
      <c r="AG40" s="87">
        <f t="shared" si="8"/>
        <v>100</v>
      </c>
      <c r="AH40" s="87">
        <f t="shared" si="9"/>
        <v>104.16666666666667</v>
      </c>
      <c r="AI40" s="87">
        <f t="shared" si="10"/>
        <v>100</v>
      </c>
      <c r="AJ40" s="87">
        <f t="shared" si="11"/>
        <v>100</v>
      </c>
      <c r="AK40" s="87">
        <f t="shared" si="12"/>
        <v>5</v>
      </c>
      <c r="AL40" s="87">
        <f t="shared" si="13"/>
        <v>104.16666666666667</v>
      </c>
      <c r="AM40" s="87">
        <f t="shared" si="14"/>
        <v>9.2578465804477234E-2</v>
      </c>
      <c r="AN40" s="142">
        <f t="shared" si="41"/>
        <v>120</v>
      </c>
      <c r="AO40" s="142">
        <f t="shared" si="41"/>
        <v>120</v>
      </c>
      <c r="AP40" s="87">
        <f t="shared" si="15"/>
        <v>0</v>
      </c>
      <c r="AQ40" s="87">
        <f t="shared" si="16"/>
        <v>100</v>
      </c>
      <c r="AR40" s="87">
        <f t="shared" si="17"/>
        <v>0.10735968536454875</v>
      </c>
      <c r="AS40" s="143">
        <f t="shared" si="41"/>
        <v>120</v>
      </c>
      <c r="AT40" s="143">
        <f t="shared" si="41"/>
        <v>120</v>
      </c>
    </row>
    <row r="41" spans="1:46" s="146" customFormat="1" ht="18.75" customHeight="1" x14ac:dyDescent="0.2">
      <c r="A41" s="144" t="s">
        <v>353</v>
      </c>
      <c r="B41" s="92" t="s">
        <v>324</v>
      </c>
      <c r="C41" s="92" t="s">
        <v>303</v>
      </c>
      <c r="D41" s="93"/>
      <c r="E41" s="94">
        <v>0</v>
      </c>
      <c r="F41" s="95">
        <v>48.225000000000001</v>
      </c>
      <c r="G41" s="94">
        <v>25</v>
      </c>
      <c r="H41" s="94">
        <v>0</v>
      </c>
      <c r="I41" s="94"/>
      <c r="J41" s="94"/>
      <c r="K41" s="145">
        <v>15</v>
      </c>
      <c r="L41" s="145">
        <v>80</v>
      </c>
      <c r="M41" s="97">
        <v>115</v>
      </c>
      <c r="N41" s="94">
        <v>120</v>
      </c>
      <c r="O41" s="94">
        <v>120</v>
      </c>
      <c r="P41" s="94">
        <v>120</v>
      </c>
      <c r="Q41" s="98">
        <v>120</v>
      </c>
      <c r="R41" s="94">
        <v>125</v>
      </c>
      <c r="S41" s="94">
        <v>125</v>
      </c>
      <c r="T41" s="94">
        <v>125</v>
      </c>
      <c r="U41" s="99">
        <v>120</v>
      </c>
      <c r="V41" s="99">
        <v>120</v>
      </c>
      <c r="W41" s="99">
        <v>120</v>
      </c>
      <c r="X41" s="99">
        <v>120</v>
      </c>
      <c r="Y41" s="99">
        <v>120</v>
      </c>
      <c r="Z41" s="97">
        <v>120</v>
      </c>
      <c r="AA41" s="97">
        <v>125</v>
      </c>
      <c r="AB41" s="97">
        <v>125</v>
      </c>
      <c r="AC41" s="97">
        <v>125</v>
      </c>
      <c r="AD41" s="97">
        <f t="shared" si="5"/>
        <v>0</v>
      </c>
      <c r="AE41" s="97">
        <f t="shared" si="6"/>
        <v>100</v>
      </c>
      <c r="AF41" s="97">
        <f t="shared" si="7"/>
        <v>0</v>
      </c>
      <c r="AG41" s="97">
        <f t="shared" si="8"/>
        <v>100</v>
      </c>
      <c r="AH41" s="97">
        <f t="shared" si="9"/>
        <v>104.16666666666667</v>
      </c>
      <c r="AI41" s="97">
        <f t="shared" si="10"/>
        <v>100</v>
      </c>
      <c r="AJ41" s="97">
        <f t="shared" si="11"/>
        <v>100</v>
      </c>
      <c r="AK41" s="97">
        <f t="shared" si="12"/>
        <v>5</v>
      </c>
      <c r="AL41" s="97">
        <f t="shared" si="13"/>
        <v>104.16666666666667</v>
      </c>
      <c r="AM41" s="97">
        <f t="shared" si="14"/>
        <v>9.2578465804477234E-2</v>
      </c>
      <c r="AN41" s="99">
        <v>120</v>
      </c>
      <c r="AO41" s="99">
        <v>120</v>
      </c>
      <c r="AP41" s="97">
        <f t="shared" si="15"/>
        <v>0</v>
      </c>
      <c r="AQ41" s="97">
        <f t="shared" si="16"/>
        <v>100</v>
      </c>
      <c r="AR41" s="97">
        <f t="shared" si="17"/>
        <v>0.10735968536454875</v>
      </c>
      <c r="AS41" s="100">
        <v>120</v>
      </c>
      <c r="AT41" s="101">
        <v>120</v>
      </c>
    </row>
    <row r="42" spans="1:46" s="146" customFormat="1" ht="31.5" hidden="1" customHeight="1" x14ac:dyDescent="0.2">
      <c r="A42" s="144" t="s">
        <v>349</v>
      </c>
      <c r="B42" s="92" t="s">
        <v>324</v>
      </c>
      <c r="C42" s="92" t="s">
        <v>309</v>
      </c>
      <c r="D42" s="93"/>
      <c r="E42" s="94"/>
      <c r="F42" s="95"/>
      <c r="G42" s="94"/>
      <c r="H42" s="94"/>
      <c r="I42" s="94"/>
      <c r="J42" s="94"/>
      <c r="K42" s="145"/>
      <c r="L42" s="145">
        <v>100</v>
      </c>
      <c r="M42" s="97">
        <v>20</v>
      </c>
      <c r="N42" s="94"/>
      <c r="O42" s="94"/>
      <c r="P42" s="94"/>
      <c r="Q42" s="98"/>
      <c r="R42" s="94"/>
      <c r="S42" s="94"/>
      <c r="T42" s="94"/>
      <c r="U42" s="99"/>
      <c r="V42" s="99"/>
      <c r="W42" s="99"/>
      <c r="X42" s="99"/>
      <c r="Y42" s="99"/>
      <c r="Z42" s="97"/>
      <c r="AA42" s="97"/>
      <c r="AB42" s="97">
        <f t="shared" si="34"/>
        <v>0</v>
      </c>
      <c r="AC42" s="97" t="e">
        <f t="shared" si="35"/>
        <v>#DIV/0!</v>
      </c>
      <c r="AD42" s="97">
        <f t="shared" si="5"/>
        <v>0</v>
      </c>
      <c r="AE42" s="97" t="e">
        <f t="shared" si="6"/>
        <v>#DIV/0!</v>
      </c>
      <c r="AF42" s="97" t="e">
        <f t="shared" si="7"/>
        <v>#DIV/0!</v>
      </c>
      <c r="AG42" s="97" t="e">
        <f t="shared" si="8"/>
        <v>#DIV/0!</v>
      </c>
      <c r="AH42" s="97" t="e">
        <f t="shared" si="9"/>
        <v>#DIV/0!</v>
      </c>
      <c r="AI42" s="97" t="e">
        <f t="shared" si="10"/>
        <v>#DIV/0!</v>
      </c>
      <c r="AJ42" s="97" t="e">
        <f t="shared" si="11"/>
        <v>#DIV/0!</v>
      </c>
      <c r="AK42" s="97">
        <f t="shared" si="12"/>
        <v>0</v>
      </c>
      <c r="AL42" s="97" t="e">
        <f t="shared" si="13"/>
        <v>#DIV/0!</v>
      </c>
      <c r="AM42" s="97" t="e">
        <f t="shared" si="14"/>
        <v>#DIV/0!</v>
      </c>
      <c r="AN42" s="99"/>
      <c r="AO42" s="99"/>
      <c r="AP42" s="97">
        <f t="shared" si="15"/>
        <v>0</v>
      </c>
      <c r="AQ42" s="97" t="e">
        <f t="shared" si="16"/>
        <v>#DIV/0!</v>
      </c>
      <c r="AR42" s="97">
        <f t="shared" si="17"/>
        <v>0</v>
      </c>
      <c r="AS42" s="100"/>
      <c r="AT42" s="101"/>
    </row>
    <row r="43" spans="1:46" s="89" customFormat="1" ht="19.5" customHeight="1" x14ac:dyDescent="0.2">
      <c r="A43" s="147" t="s">
        <v>354</v>
      </c>
      <c r="B43" s="83" t="s">
        <v>313</v>
      </c>
      <c r="C43" s="84"/>
      <c r="D43" s="86">
        <f>D44+D45</f>
        <v>8792.6719999999987</v>
      </c>
      <c r="E43" s="86">
        <f>E44+E45</f>
        <v>9451.0019999999986</v>
      </c>
      <c r="F43" s="86">
        <f t="shared" ref="F43:X43" si="42">F44+F45</f>
        <v>9114.8239999999987</v>
      </c>
      <c r="G43" s="86">
        <f t="shared" si="42"/>
        <v>14648.3</v>
      </c>
      <c r="H43" s="86">
        <f t="shared" si="42"/>
        <v>14748.4</v>
      </c>
      <c r="I43" s="86">
        <f t="shared" si="42"/>
        <v>16430.599999999999</v>
      </c>
      <c r="J43" s="86">
        <f t="shared" si="42"/>
        <v>16229.1</v>
      </c>
      <c r="K43" s="86">
        <f t="shared" si="42"/>
        <v>16493.2</v>
      </c>
      <c r="L43" s="86">
        <f t="shared" si="42"/>
        <v>15215.9</v>
      </c>
      <c r="M43" s="87">
        <f t="shared" si="42"/>
        <v>13739.4</v>
      </c>
      <c r="N43" s="86">
        <f t="shared" si="42"/>
        <v>15445</v>
      </c>
      <c r="O43" s="86">
        <f t="shared" si="42"/>
        <v>15445</v>
      </c>
      <c r="P43" s="86">
        <f t="shared" si="42"/>
        <v>15445</v>
      </c>
      <c r="Q43" s="86">
        <f t="shared" si="42"/>
        <v>14045</v>
      </c>
      <c r="R43" s="86">
        <f t="shared" si="42"/>
        <v>13498.7</v>
      </c>
      <c r="S43" s="86">
        <f t="shared" si="42"/>
        <v>13498.7</v>
      </c>
      <c r="T43" s="86">
        <f t="shared" si="42"/>
        <v>12909.54</v>
      </c>
      <c r="U43" s="87">
        <f t="shared" si="42"/>
        <v>11622.3</v>
      </c>
      <c r="V43" s="87">
        <f t="shared" si="42"/>
        <v>12211.5</v>
      </c>
      <c r="W43" s="87">
        <f t="shared" si="42"/>
        <v>12402.4</v>
      </c>
      <c r="X43" s="87">
        <f t="shared" si="42"/>
        <v>13098</v>
      </c>
      <c r="Y43" s="87">
        <f>Y44+Y45</f>
        <v>13098.4</v>
      </c>
      <c r="Z43" s="87">
        <f t="shared" ref="Z43:AT43" si="43">Z44+Z45</f>
        <v>13098.4</v>
      </c>
      <c r="AA43" s="87">
        <f t="shared" si="43"/>
        <v>13536.9</v>
      </c>
      <c r="AB43" s="87">
        <f>AB44</f>
        <v>13536.9</v>
      </c>
      <c r="AC43" s="87">
        <f>AC44</f>
        <v>13536.9</v>
      </c>
      <c r="AD43" s="87">
        <f t="shared" si="5"/>
        <v>0</v>
      </c>
      <c r="AE43" s="87">
        <f t="shared" si="6"/>
        <v>100</v>
      </c>
      <c r="AF43" s="87">
        <f t="shared" si="7"/>
        <v>0</v>
      </c>
      <c r="AG43" s="87">
        <f t="shared" si="8"/>
        <v>100</v>
      </c>
      <c r="AH43" s="87">
        <f t="shared" si="9"/>
        <v>116.47350352339897</v>
      </c>
      <c r="AI43" s="87">
        <f t="shared" si="10"/>
        <v>100</v>
      </c>
      <c r="AJ43" s="87">
        <f t="shared" si="11"/>
        <v>104.85966192443728</v>
      </c>
      <c r="AK43" s="87">
        <f t="shared" si="12"/>
        <v>1914.6000000000004</v>
      </c>
      <c r="AL43" s="87">
        <f t="shared" si="13"/>
        <v>116.47350352339897</v>
      </c>
      <c r="AM43" s="87">
        <f t="shared" si="14"/>
        <v>10.025803469989023</v>
      </c>
      <c r="AN43" s="87">
        <f t="shared" si="43"/>
        <v>13508.3</v>
      </c>
      <c r="AO43" s="87">
        <f t="shared" si="43"/>
        <v>13508.3</v>
      </c>
      <c r="AP43" s="87">
        <f t="shared" si="15"/>
        <v>0</v>
      </c>
      <c r="AQ43" s="87">
        <f t="shared" si="16"/>
        <v>100</v>
      </c>
      <c r="AR43" s="87">
        <f t="shared" si="17"/>
        <v>12.085390315082781</v>
      </c>
      <c r="AS43" s="88">
        <f t="shared" si="43"/>
        <v>13508.3</v>
      </c>
      <c r="AT43" s="88">
        <f t="shared" si="43"/>
        <v>13508.3</v>
      </c>
    </row>
    <row r="44" spans="1:46" ht="15" customHeight="1" x14ac:dyDescent="0.2">
      <c r="A44" s="103" t="s">
        <v>355</v>
      </c>
      <c r="B44" s="91" t="s">
        <v>313</v>
      </c>
      <c r="C44" s="92" t="s">
        <v>303</v>
      </c>
      <c r="D44" s="148">
        <f>4701.86+61.391+1426.871+26+52.143+1238.929+288.813+171.709+50.028+25.307+149.621+100</f>
        <v>8292.6719999999987</v>
      </c>
      <c r="E44" s="94">
        <f>5292.188+1463.19+135.335+25.999+24.004+1294.408+61.8+237.26+131.564+108.043+25.92+513.295+36.996+72.92+3.08</f>
        <v>9426.0019999999986</v>
      </c>
      <c r="F44" s="95">
        <f>5196.294+1456.998+97.506+13.305+37.061+116.238+1352.172+42.5+265.338+103.871+110.753+15.13+187.259+92.399+3</f>
        <v>9089.8239999999987</v>
      </c>
      <c r="G44" s="94">
        <v>14648.3</v>
      </c>
      <c r="H44" s="94">
        <v>14748.4</v>
      </c>
      <c r="I44" s="94">
        <v>16430.599999999999</v>
      </c>
      <c r="J44" s="94">
        <v>16229.1</v>
      </c>
      <c r="K44" s="96">
        <v>16493.2</v>
      </c>
      <c r="L44" s="96">
        <v>15215.9</v>
      </c>
      <c r="M44" s="97">
        <v>13739.4</v>
      </c>
      <c r="N44" s="94">
        <v>15445</v>
      </c>
      <c r="O44" s="94">
        <v>15445</v>
      </c>
      <c r="P44" s="94">
        <v>15445</v>
      </c>
      <c r="Q44" s="98">
        <v>14045</v>
      </c>
      <c r="R44" s="94">
        <v>13498.7</v>
      </c>
      <c r="S44" s="94">
        <v>13498.7</v>
      </c>
      <c r="T44" s="94">
        <v>12909.54</v>
      </c>
      <c r="U44" s="99">
        <v>11622.3</v>
      </c>
      <c r="V44" s="99">
        <v>12211.5</v>
      </c>
      <c r="W44" s="99">
        <v>12402.4</v>
      </c>
      <c r="X44" s="99">
        <v>13098</v>
      </c>
      <c r="Y44" s="99">
        <v>13098.4</v>
      </c>
      <c r="Z44" s="97">
        <v>13098.4</v>
      </c>
      <c r="AA44" s="97">
        <v>13536.9</v>
      </c>
      <c r="AB44" s="97">
        <v>13536.9</v>
      </c>
      <c r="AC44" s="97">
        <v>13536.9</v>
      </c>
      <c r="AD44" s="97">
        <f t="shared" si="5"/>
        <v>0</v>
      </c>
      <c r="AE44" s="97">
        <f t="shared" si="6"/>
        <v>100</v>
      </c>
      <c r="AF44" s="97">
        <f t="shared" si="7"/>
        <v>0</v>
      </c>
      <c r="AG44" s="97">
        <f t="shared" si="8"/>
        <v>100</v>
      </c>
      <c r="AH44" s="97">
        <f t="shared" si="9"/>
        <v>116.47350352339897</v>
      </c>
      <c r="AI44" s="97">
        <f t="shared" si="10"/>
        <v>100</v>
      </c>
      <c r="AJ44" s="97">
        <f t="shared" si="11"/>
        <v>104.85966192443728</v>
      </c>
      <c r="AK44" s="97">
        <f t="shared" si="12"/>
        <v>1914.6000000000004</v>
      </c>
      <c r="AL44" s="97">
        <f t="shared" si="13"/>
        <v>116.47350352339897</v>
      </c>
      <c r="AM44" s="97">
        <f t="shared" si="14"/>
        <v>10.025803469989023</v>
      </c>
      <c r="AN44" s="99">
        <v>13508.3</v>
      </c>
      <c r="AO44" s="99">
        <v>13508.3</v>
      </c>
      <c r="AP44" s="97">
        <f t="shared" si="15"/>
        <v>0</v>
      </c>
      <c r="AQ44" s="97">
        <f t="shared" si="16"/>
        <v>100</v>
      </c>
      <c r="AR44" s="97">
        <f t="shared" si="17"/>
        <v>12.085390315082781</v>
      </c>
      <c r="AS44" s="100">
        <v>13508.3</v>
      </c>
      <c r="AT44" s="101">
        <v>13508.3</v>
      </c>
    </row>
    <row r="45" spans="1:46" ht="15" hidden="1" customHeight="1" x14ac:dyDescent="0.2">
      <c r="A45" s="149" t="s">
        <v>356</v>
      </c>
      <c r="B45" s="91" t="s">
        <v>313</v>
      </c>
      <c r="C45" s="92" t="s">
        <v>305</v>
      </c>
      <c r="D45" s="93">
        <f>53.03+346.97+100</f>
        <v>500</v>
      </c>
      <c r="E45" s="94">
        <v>25</v>
      </c>
      <c r="F45" s="95">
        <v>25</v>
      </c>
      <c r="G45" s="94">
        <v>0</v>
      </c>
      <c r="H45" s="94"/>
      <c r="I45" s="94"/>
      <c r="J45" s="94"/>
      <c r="K45" s="96"/>
      <c r="L45" s="96"/>
      <c r="M45" s="97"/>
      <c r="N45" s="94"/>
      <c r="O45" s="94"/>
      <c r="P45" s="94"/>
      <c r="Q45" s="98"/>
      <c r="R45" s="94"/>
      <c r="S45" s="94"/>
      <c r="T45" s="94"/>
      <c r="U45" s="99"/>
      <c r="V45" s="99"/>
      <c r="W45" s="99"/>
      <c r="X45" s="99"/>
      <c r="Y45" s="99"/>
      <c r="Z45" s="97"/>
      <c r="AA45" s="97"/>
      <c r="AB45" s="97">
        <f t="shared" si="34"/>
        <v>0</v>
      </c>
      <c r="AC45" s="97" t="e">
        <f t="shared" si="35"/>
        <v>#DIV/0!</v>
      </c>
      <c r="AD45" s="97">
        <f t="shared" si="5"/>
        <v>0</v>
      </c>
      <c r="AE45" s="97" t="e">
        <f t="shared" si="6"/>
        <v>#DIV/0!</v>
      </c>
      <c r="AF45" s="97" t="e">
        <f t="shared" si="7"/>
        <v>#DIV/0!</v>
      </c>
      <c r="AG45" s="97" t="e">
        <f t="shared" si="8"/>
        <v>#DIV/0!</v>
      </c>
      <c r="AH45" s="97" t="e">
        <f t="shared" si="9"/>
        <v>#DIV/0!</v>
      </c>
      <c r="AI45" s="97" t="e">
        <f t="shared" si="10"/>
        <v>#DIV/0!</v>
      </c>
      <c r="AJ45" s="97" t="e">
        <f t="shared" si="11"/>
        <v>#DIV/0!</v>
      </c>
      <c r="AK45" s="97">
        <f t="shared" si="12"/>
        <v>0</v>
      </c>
      <c r="AL45" s="97" t="e">
        <f t="shared" si="13"/>
        <v>#DIV/0!</v>
      </c>
      <c r="AM45" s="97" t="e">
        <f t="shared" si="14"/>
        <v>#DIV/0!</v>
      </c>
      <c r="AN45" s="99"/>
      <c r="AO45" s="99"/>
      <c r="AP45" s="97">
        <f t="shared" si="15"/>
        <v>0</v>
      </c>
      <c r="AQ45" s="97" t="e">
        <f t="shared" si="16"/>
        <v>#DIV/0!</v>
      </c>
      <c r="AR45" s="97">
        <f t="shared" si="17"/>
        <v>0</v>
      </c>
      <c r="AS45" s="100"/>
      <c r="AT45" s="101"/>
    </row>
    <row r="46" spans="1:46" s="89" customFormat="1" ht="43.5" hidden="1" customHeight="1" x14ac:dyDescent="0.2">
      <c r="A46" s="150" t="s">
        <v>357</v>
      </c>
      <c r="B46" s="151">
        <v>14</v>
      </c>
      <c r="C46" s="84"/>
      <c r="D46" s="85" t="str">
        <f>D47</f>
        <v>0</v>
      </c>
      <c r="E46" s="86">
        <f>E47</f>
        <v>119.4</v>
      </c>
      <c r="F46" s="86">
        <f t="shared" ref="F46:G46" si="44">F47</f>
        <v>75.123999999999995</v>
      </c>
      <c r="G46" s="86">
        <f t="shared" si="44"/>
        <v>75.400000000000006</v>
      </c>
      <c r="H46" s="86"/>
      <c r="I46" s="86"/>
      <c r="J46" s="86"/>
      <c r="K46" s="131"/>
      <c r="L46" s="131"/>
      <c r="M46" s="97"/>
      <c r="N46" s="94"/>
      <c r="O46" s="94"/>
      <c r="P46" s="94"/>
      <c r="Q46" s="98"/>
      <c r="R46" s="94"/>
      <c r="S46" s="94"/>
      <c r="T46" s="94"/>
      <c r="U46" s="99"/>
      <c r="V46" s="99"/>
      <c r="W46" s="99"/>
      <c r="X46" s="99"/>
      <c r="Y46" s="99"/>
      <c r="Z46" s="97"/>
      <c r="AA46" s="97"/>
      <c r="AB46" s="97">
        <f t="shared" si="34"/>
        <v>0</v>
      </c>
      <c r="AC46" s="97" t="e">
        <f t="shared" si="35"/>
        <v>#DIV/0!</v>
      </c>
      <c r="AD46" s="97">
        <f t="shared" si="5"/>
        <v>0</v>
      </c>
      <c r="AE46" s="97" t="e">
        <f t="shared" si="6"/>
        <v>#DIV/0!</v>
      </c>
      <c r="AF46" s="97" t="e">
        <f t="shared" si="7"/>
        <v>#DIV/0!</v>
      </c>
      <c r="AG46" s="97" t="e">
        <f t="shared" si="8"/>
        <v>#DIV/0!</v>
      </c>
      <c r="AH46" s="97" t="e">
        <f t="shared" si="9"/>
        <v>#DIV/0!</v>
      </c>
      <c r="AI46" s="97" t="e">
        <f t="shared" si="10"/>
        <v>#DIV/0!</v>
      </c>
      <c r="AJ46" s="97" t="e">
        <f t="shared" si="11"/>
        <v>#DIV/0!</v>
      </c>
      <c r="AK46" s="97">
        <f t="shared" si="12"/>
        <v>0</v>
      </c>
      <c r="AL46" s="97" t="e">
        <f t="shared" si="13"/>
        <v>#DIV/0!</v>
      </c>
      <c r="AM46" s="97" t="e">
        <f t="shared" si="14"/>
        <v>#DIV/0!</v>
      </c>
      <c r="AN46" s="99"/>
      <c r="AO46" s="99"/>
      <c r="AP46" s="97">
        <f t="shared" si="15"/>
        <v>0</v>
      </c>
      <c r="AQ46" s="97" t="e">
        <f t="shared" si="16"/>
        <v>#DIV/0!</v>
      </c>
      <c r="AR46" s="97">
        <f t="shared" si="17"/>
        <v>0</v>
      </c>
      <c r="AS46" s="100"/>
      <c r="AT46" s="101"/>
    </row>
    <row r="47" spans="1:46" ht="30.75" hidden="1" customHeight="1" x14ac:dyDescent="0.2">
      <c r="A47" s="152" t="s">
        <v>358</v>
      </c>
      <c r="B47" s="153">
        <v>14</v>
      </c>
      <c r="C47" s="92" t="s">
        <v>318</v>
      </c>
      <c r="D47" s="93" t="s">
        <v>348</v>
      </c>
      <c r="E47" s="94">
        <v>119.4</v>
      </c>
      <c r="F47" s="95">
        <v>75.123999999999995</v>
      </c>
      <c r="G47" s="94">
        <v>75.400000000000006</v>
      </c>
      <c r="H47" s="94"/>
      <c r="I47" s="94"/>
      <c r="J47" s="94"/>
      <c r="K47" s="96"/>
      <c r="L47" s="96"/>
      <c r="M47" s="97"/>
      <c r="N47" s="94"/>
      <c r="O47" s="94"/>
      <c r="P47" s="94"/>
      <c r="Q47" s="98"/>
      <c r="R47" s="94"/>
      <c r="S47" s="94"/>
      <c r="T47" s="94"/>
      <c r="U47" s="99"/>
      <c r="V47" s="99"/>
      <c r="W47" s="99"/>
      <c r="X47" s="99"/>
      <c r="Y47" s="99"/>
      <c r="Z47" s="97"/>
      <c r="AA47" s="97"/>
      <c r="AB47" s="97">
        <f t="shared" si="34"/>
        <v>0</v>
      </c>
      <c r="AC47" s="97" t="e">
        <f t="shared" si="35"/>
        <v>#DIV/0!</v>
      </c>
      <c r="AD47" s="97">
        <f t="shared" si="5"/>
        <v>0</v>
      </c>
      <c r="AE47" s="97" t="e">
        <f t="shared" si="6"/>
        <v>#DIV/0!</v>
      </c>
      <c r="AF47" s="97" t="e">
        <f t="shared" si="7"/>
        <v>#DIV/0!</v>
      </c>
      <c r="AG47" s="97" t="e">
        <f t="shared" si="8"/>
        <v>#DIV/0!</v>
      </c>
      <c r="AH47" s="97" t="e">
        <f t="shared" si="9"/>
        <v>#DIV/0!</v>
      </c>
      <c r="AI47" s="97" t="e">
        <f t="shared" si="10"/>
        <v>#DIV/0!</v>
      </c>
      <c r="AJ47" s="97" t="e">
        <f t="shared" si="11"/>
        <v>#DIV/0!</v>
      </c>
      <c r="AK47" s="97">
        <f t="shared" si="12"/>
        <v>0</v>
      </c>
      <c r="AL47" s="97" t="e">
        <f t="shared" si="13"/>
        <v>#DIV/0!</v>
      </c>
      <c r="AM47" s="97" t="e">
        <f t="shared" si="14"/>
        <v>#DIV/0!</v>
      </c>
      <c r="AN47" s="99"/>
      <c r="AO47" s="99"/>
      <c r="AP47" s="97">
        <f t="shared" si="15"/>
        <v>0</v>
      </c>
      <c r="AQ47" s="97" t="e">
        <f t="shared" si="16"/>
        <v>#DIV/0!</v>
      </c>
      <c r="AR47" s="97">
        <f t="shared" si="17"/>
        <v>0</v>
      </c>
      <c r="AS47" s="100"/>
      <c r="AT47" s="101"/>
    </row>
    <row r="48" spans="1:46" s="89" customFormat="1" ht="18" customHeight="1" x14ac:dyDescent="0.2">
      <c r="A48" s="82" t="s">
        <v>359</v>
      </c>
      <c r="B48" s="154"/>
      <c r="C48" s="155"/>
      <c r="D48" s="86">
        <f>D46+D43+D34+D32+D26+D19+D14+D12+D5</f>
        <v>104535.84000000003</v>
      </c>
      <c r="E48" s="86">
        <f>E46+E43+E34+E32+E26+E19+E14+E12+E5</f>
        <v>130323.92300000001</v>
      </c>
      <c r="F48" s="86">
        <f>F46+F43+F34+F32+F26+F19+F14+F12+F5+F40</f>
        <v>119384.02000000002</v>
      </c>
      <c r="G48" s="86">
        <f>G46+G43+G34+G32+G26+G19+G14+G12+G5+G40</f>
        <v>98384.099999999991</v>
      </c>
      <c r="H48" s="86">
        <f>H46+H43+H34+H32+H26+H19+H14+H12+H5+H40</f>
        <v>116258.4</v>
      </c>
      <c r="I48" s="86">
        <f>I46+I43+I34+I32+I26+I19+I14+I12+I5+I40+0.1</f>
        <v>119635.79999999999</v>
      </c>
      <c r="J48" s="86">
        <f>J46+J43+J34+J32+J26+J19+J14+J12+J5+J40-0.2</f>
        <v>127637.30000000002</v>
      </c>
      <c r="K48" s="86">
        <f>K46+K43+K34+K32+K26+K19+K14+K12+K5+K40+K30</f>
        <v>129255.89999999998</v>
      </c>
      <c r="L48" s="86">
        <f>L46+L43+L34+L32+L26+L19+L14+L12+L5+L40+L30</f>
        <v>122459.79999999999</v>
      </c>
      <c r="M48" s="87">
        <f>M46+M43+M34+M32+M26+M19+M14+M12+M5+M40+M30+M38+0.1</f>
        <v>130027.69999999998</v>
      </c>
      <c r="N48" s="86">
        <f>N46+N43+N34+N32+N26+N19+N14+N12+N5+N40+N30+N38</f>
        <v>87570.9</v>
      </c>
      <c r="O48" s="86">
        <f>O46+O43+O34+O32+O26+O19+O14+O12+O5+O40+O30+O38+0.1</f>
        <v>99134</v>
      </c>
      <c r="P48" s="86">
        <f>P46+P43+P34+P32+P26+P19+P14+P12+P5+P40+P30+P38</f>
        <v>110279.9</v>
      </c>
      <c r="Q48" s="86">
        <f>Q46+Q43+Q34+Q32+Q26+Q19+Q14+Q12+Q5+Q40+Q30+Q38</f>
        <v>118280.09999999998</v>
      </c>
      <c r="R48" s="156">
        <f>R46+R43+R34+R32+R26+R19+R14+R12+R5+R40+R30+R38-0.1</f>
        <v>124277.9</v>
      </c>
      <c r="S48" s="86">
        <f>S46+S43+S34+S32+S26+S19+S14+S12+S5+S40+S30+S38-0.1</f>
        <v>124577.9</v>
      </c>
      <c r="T48" s="86">
        <f t="shared" ref="T48" si="45">T46+T43+T34+T32+T26+T19+T14+T12+T5+T40+T30+T38</f>
        <v>119867.67</v>
      </c>
      <c r="U48" s="87">
        <f>U46+U43+U34+U32+U26+U19+U14+U12+U5+U40+U30+U38</f>
        <v>90893.1</v>
      </c>
      <c r="V48" s="87">
        <f t="shared" ref="V48" si="46">V46+V43+V34+V32+V26+V19+V14+V12+V5+V40+V30+V38</f>
        <v>110138.8</v>
      </c>
      <c r="W48" s="87">
        <f>W46+W43+W34+W32+W26+W19+W14+W12+W5+W40+W30+W38+0.1</f>
        <v>122860.50000000001</v>
      </c>
      <c r="X48" s="87">
        <f>X46+X43+X34+X32+X26+X19+X14+X12+X5+X40+X30+X38+0.1</f>
        <v>131445.70000000001</v>
      </c>
      <c r="Y48" s="87">
        <f>Y46+Y43+Y34+Y32+Y26+Y19+Y14+Y12+Y5+Y40+Y30+Y38</f>
        <v>133055.40000000002</v>
      </c>
      <c r="Z48" s="87">
        <f>Z46+Z43+Z34+Z32+Z26+Z19+Z14+Z12+Z5+Z40+Z30+Z38</f>
        <v>133055.40000000002</v>
      </c>
      <c r="AA48" s="87">
        <f>AA46+AA43+AA34+AA32+AA26+AA19+AA14+AA12+AA5+AA40+AA30+AA38+0.2</f>
        <v>137731.20000000001</v>
      </c>
      <c r="AB48" s="87">
        <f>AB46+AB43+AB34+AB32+AB26+AB19+AB14+AB12+AB5+AB40+AB30+AB38</f>
        <v>137731.1</v>
      </c>
      <c r="AC48" s="157">
        <f>AC43+AC40+AC34+AC30+AC26+AC19+AC14+AC12+AC5</f>
        <v>135020.6</v>
      </c>
      <c r="AD48" s="87">
        <f t="shared" si="5"/>
        <v>-0.10000000000582077</v>
      </c>
      <c r="AE48" s="87">
        <f t="shared" si="6"/>
        <v>99.999927394809589</v>
      </c>
      <c r="AF48" s="87">
        <f t="shared" si="7"/>
        <v>-2710.5</v>
      </c>
      <c r="AG48" s="87">
        <f t="shared" si="8"/>
        <v>98.03203488536721</v>
      </c>
      <c r="AH48" s="87">
        <f t="shared" si="9"/>
        <v>148.54878973211387</v>
      </c>
      <c r="AI48" s="87">
        <f t="shared" si="10"/>
        <v>98.031963709021625</v>
      </c>
      <c r="AJ48" s="87">
        <f t="shared" si="11"/>
        <v>112.64138195061271</v>
      </c>
      <c r="AK48" s="87">
        <f t="shared" si="12"/>
        <v>46838.100000000006</v>
      </c>
      <c r="AL48" s="87">
        <f t="shared" si="13"/>
        <v>151.53097429837911</v>
      </c>
      <c r="AM48" s="87">
        <f t="shared" si="14"/>
        <v>100</v>
      </c>
      <c r="AN48" s="87">
        <f t="shared" ref="AN48:AT48" si="47">AN46+AN43+AN34+AN32+AN26+AN19+AN14+AN12+AN5+AN40+AN30+AN38</f>
        <v>98489.300000000017</v>
      </c>
      <c r="AO48" s="87">
        <f>AO46+AO43+AO34+AO32+AO26+AO19+AO14+AO12+AO5+AO40+AO30+AO38</f>
        <v>111773.80000000002</v>
      </c>
      <c r="AP48" s="87">
        <f t="shared" si="15"/>
        <v>13284.5</v>
      </c>
      <c r="AQ48" s="87">
        <f t="shared" si="16"/>
        <v>113.48826725339707</v>
      </c>
      <c r="AR48" s="87">
        <f t="shared" si="17"/>
        <v>100</v>
      </c>
      <c r="AS48" s="88">
        <f t="shared" si="47"/>
        <v>82142.8</v>
      </c>
      <c r="AT48" s="88">
        <f t="shared" si="47"/>
        <v>82170.399999999994</v>
      </c>
    </row>
    <row r="49" spans="1:46" ht="15" hidden="1" customHeight="1" x14ac:dyDescent="0.2">
      <c r="E49" s="159"/>
      <c r="G49" s="67">
        <v>98384.043999999994</v>
      </c>
      <c r="H49" s="67">
        <v>116258.3</v>
      </c>
      <c r="I49" s="66">
        <v>119635.8</v>
      </c>
      <c r="AB49" s="97">
        <f t="shared" si="34"/>
        <v>0</v>
      </c>
      <c r="AC49" s="97" t="e">
        <f t="shared" si="35"/>
        <v>#DIV/0!</v>
      </c>
      <c r="AD49" s="97" t="e">
        <f t="shared" ref="AD49:AD55" si="48">AA49/U49*100</f>
        <v>#DIV/0!</v>
      </c>
      <c r="AE49" s="97">
        <f t="shared" ref="AE49:AE55" si="49">AA49/$AA$48*100</f>
        <v>0</v>
      </c>
      <c r="AF49" s="160"/>
      <c r="AG49" s="160"/>
      <c r="AH49" s="160"/>
      <c r="AI49" s="160"/>
      <c r="AJ49" s="160"/>
      <c r="AK49" s="160"/>
      <c r="AL49" s="160"/>
      <c r="AM49" s="160"/>
      <c r="AP49" s="97">
        <f t="shared" si="15"/>
        <v>0</v>
      </c>
      <c r="AQ49" s="97" t="e">
        <f t="shared" si="16"/>
        <v>#DIV/0!</v>
      </c>
      <c r="AR49" s="97">
        <f t="shared" si="17"/>
        <v>0</v>
      </c>
    </row>
    <row r="50" spans="1:46" hidden="1" x14ac:dyDescent="0.2">
      <c r="A50" s="161"/>
      <c r="D50" s="162"/>
      <c r="E50" s="163"/>
      <c r="F50" s="163"/>
      <c r="G50" s="164">
        <f t="shared" ref="G50:I50" si="50">G48-G49</f>
        <v>5.5999999996856786E-2</v>
      </c>
      <c r="H50" s="164">
        <f t="shared" si="50"/>
        <v>9.9999999991268851E-2</v>
      </c>
      <c r="I50" s="164">
        <f t="shared" si="50"/>
        <v>0</v>
      </c>
      <c r="AB50" s="97">
        <f t="shared" si="34"/>
        <v>0</v>
      </c>
      <c r="AC50" s="97" t="e">
        <f t="shared" si="35"/>
        <v>#DIV/0!</v>
      </c>
      <c r="AD50" s="97" t="e">
        <f t="shared" si="48"/>
        <v>#DIV/0!</v>
      </c>
      <c r="AE50" s="97">
        <f t="shared" si="49"/>
        <v>0</v>
      </c>
      <c r="AF50" s="160"/>
      <c r="AG50" s="160"/>
      <c r="AH50" s="160"/>
      <c r="AI50" s="160"/>
      <c r="AJ50" s="160"/>
      <c r="AK50" s="160"/>
      <c r="AL50" s="160"/>
      <c r="AM50" s="160"/>
      <c r="AP50" s="97">
        <f t="shared" si="15"/>
        <v>0</v>
      </c>
      <c r="AQ50" s="97" t="e">
        <f t="shared" si="16"/>
        <v>#DIV/0!</v>
      </c>
      <c r="AR50" s="97">
        <f t="shared" si="17"/>
        <v>0</v>
      </c>
    </row>
    <row r="51" spans="1:46" hidden="1" x14ac:dyDescent="0.2">
      <c r="A51" s="66" t="s">
        <v>360</v>
      </c>
      <c r="E51" s="165"/>
      <c r="AB51" s="97">
        <f t="shared" si="34"/>
        <v>0</v>
      </c>
      <c r="AC51" s="97" t="e">
        <f t="shared" si="35"/>
        <v>#DIV/0!</v>
      </c>
      <c r="AD51" s="97" t="e">
        <f t="shared" si="48"/>
        <v>#DIV/0!</v>
      </c>
      <c r="AE51" s="97">
        <f t="shared" si="49"/>
        <v>0</v>
      </c>
      <c r="AF51" s="160"/>
      <c r="AG51" s="160"/>
      <c r="AH51" s="160"/>
      <c r="AI51" s="160"/>
      <c r="AJ51" s="160"/>
      <c r="AK51" s="160"/>
      <c r="AL51" s="160"/>
      <c r="AM51" s="160"/>
      <c r="AP51" s="97">
        <f t="shared" si="15"/>
        <v>0</v>
      </c>
      <c r="AQ51" s="97" t="e">
        <f t="shared" si="16"/>
        <v>#DIV/0!</v>
      </c>
      <c r="AR51" s="97">
        <f t="shared" si="17"/>
        <v>0</v>
      </c>
    </row>
    <row r="52" spans="1:46" hidden="1" x14ac:dyDescent="0.2">
      <c r="AB52" s="97">
        <f t="shared" si="34"/>
        <v>0</v>
      </c>
      <c r="AC52" s="97" t="e">
        <f t="shared" si="35"/>
        <v>#DIV/0!</v>
      </c>
      <c r="AD52" s="97" t="e">
        <f t="shared" si="48"/>
        <v>#DIV/0!</v>
      </c>
      <c r="AE52" s="97">
        <f t="shared" si="49"/>
        <v>0</v>
      </c>
      <c r="AF52" s="160"/>
      <c r="AG52" s="160"/>
      <c r="AH52" s="160"/>
      <c r="AI52" s="160"/>
      <c r="AJ52" s="160"/>
      <c r="AK52" s="160"/>
      <c r="AL52" s="160"/>
      <c r="AM52" s="160"/>
      <c r="AP52" s="97">
        <f t="shared" si="15"/>
        <v>0</v>
      </c>
      <c r="AQ52" s="97" t="e">
        <f t="shared" si="16"/>
        <v>#DIV/0!</v>
      </c>
      <c r="AR52" s="97">
        <f t="shared" si="17"/>
        <v>0</v>
      </c>
    </row>
    <row r="53" spans="1:46" hidden="1" x14ac:dyDescent="0.2">
      <c r="A53" s="66" t="s">
        <v>361</v>
      </c>
      <c r="AB53" s="97">
        <f t="shared" si="34"/>
        <v>0</v>
      </c>
      <c r="AC53" s="97" t="e">
        <f t="shared" si="35"/>
        <v>#DIV/0!</v>
      </c>
      <c r="AD53" s="97" t="e">
        <f t="shared" si="48"/>
        <v>#DIV/0!</v>
      </c>
      <c r="AE53" s="97">
        <f t="shared" si="49"/>
        <v>0</v>
      </c>
      <c r="AF53" s="160"/>
      <c r="AG53" s="160"/>
      <c r="AH53" s="160"/>
      <c r="AI53" s="160"/>
      <c r="AJ53" s="160"/>
      <c r="AK53" s="160"/>
      <c r="AL53" s="160"/>
      <c r="AM53" s="160"/>
      <c r="AP53" s="97">
        <f t="shared" si="15"/>
        <v>0</v>
      </c>
      <c r="AQ53" s="97" t="e">
        <f t="shared" si="16"/>
        <v>#DIV/0!</v>
      </c>
      <c r="AR53" s="97">
        <f t="shared" si="17"/>
        <v>0</v>
      </c>
    </row>
    <row r="54" spans="1:46" hidden="1" x14ac:dyDescent="0.2">
      <c r="AB54" s="97">
        <f t="shared" si="34"/>
        <v>0</v>
      </c>
      <c r="AC54" s="97" t="e">
        <f t="shared" si="35"/>
        <v>#DIV/0!</v>
      </c>
      <c r="AD54" s="97" t="e">
        <f t="shared" si="48"/>
        <v>#DIV/0!</v>
      </c>
      <c r="AE54" s="97">
        <f t="shared" si="49"/>
        <v>0</v>
      </c>
      <c r="AF54" s="160"/>
      <c r="AG54" s="160"/>
      <c r="AH54" s="160"/>
      <c r="AI54" s="160"/>
      <c r="AJ54" s="160"/>
      <c r="AK54" s="160"/>
      <c r="AL54" s="160"/>
      <c r="AM54" s="160"/>
      <c r="AP54" s="97">
        <f t="shared" si="15"/>
        <v>0</v>
      </c>
      <c r="AQ54" s="97" t="e">
        <f t="shared" si="16"/>
        <v>#DIV/0!</v>
      </c>
      <c r="AR54" s="97">
        <f t="shared" si="17"/>
        <v>0</v>
      </c>
    </row>
    <row r="55" spans="1:46" hidden="1" x14ac:dyDescent="0.2">
      <c r="A55" s="66" t="s">
        <v>362</v>
      </c>
      <c r="AB55" s="97">
        <f t="shared" si="34"/>
        <v>0</v>
      </c>
      <c r="AC55" s="97" t="e">
        <f t="shared" si="35"/>
        <v>#DIV/0!</v>
      </c>
      <c r="AD55" s="97" t="e">
        <f t="shared" si="48"/>
        <v>#DIV/0!</v>
      </c>
      <c r="AE55" s="97">
        <f t="shared" si="49"/>
        <v>0</v>
      </c>
      <c r="AF55" s="160"/>
      <c r="AG55" s="160"/>
      <c r="AH55" s="160"/>
      <c r="AI55" s="160"/>
      <c r="AJ55" s="160"/>
      <c r="AK55" s="160"/>
      <c r="AL55" s="160"/>
      <c r="AM55" s="160"/>
      <c r="AP55" s="97">
        <f t="shared" si="15"/>
        <v>0</v>
      </c>
      <c r="AQ55" s="97" t="e">
        <f t="shared" si="16"/>
        <v>#DIV/0!</v>
      </c>
      <c r="AR55" s="97">
        <f t="shared" si="17"/>
        <v>0</v>
      </c>
    </row>
    <row r="58" spans="1:46" x14ac:dyDescent="0.2">
      <c r="AA58" s="166"/>
      <c r="AB58" s="166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8">
        <f>AN10/AN48*100</f>
        <v>0.14356889530131697</v>
      </c>
      <c r="AO58" s="99"/>
      <c r="AP58" s="99"/>
      <c r="AQ58" s="99"/>
      <c r="AR58" s="99"/>
      <c r="AS58" s="100">
        <f t="shared" ref="AS58:AT58" si="51">AS10/AS48*100</f>
        <v>0.1721392501838262</v>
      </c>
      <c r="AT58" s="100">
        <f t="shared" si="51"/>
        <v>0.17208143078286101</v>
      </c>
    </row>
    <row r="59" spans="1:46" x14ac:dyDescent="0.2">
      <c r="AA59" s="166"/>
      <c r="AB59" s="166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8"/>
      <c r="AO59" s="99"/>
      <c r="AP59" s="99"/>
      <c r="AQ59" s="99"/>
      <c r="AR59" s="99"/>
      <c r="AS59" s="100">
        <f>2100/(AS48-41499.2+37161.8)*100</f>
        <v>2.699041454706228</v>
      </c>
      <c r="AT59" s="100">
        <f>4110/(AT48-40957.2+36597.2)*100</f>
        <v>5.282070263101077</v>
      </c>
    </row>
    <row r="60" spans="1:46" x14ac:dyDescent="0.2">
      <c r="AA60" s="166"/>
      <c r="AB60" s="166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8">
        <f>6205.4/AN48*100</f>
        <v>6.3005829059603418</v>
      </c>
      <c r="AO60" s="99"/>
      <c r="AP60" s="99"/>
      <c r="AQ60" s="99"/>
      <c r="AR60" s="99"/>
      <c r="AS60" s="100">
        <f>6263.5/AS48*100</f>
        <v>7.6251357392248611</v>
      </c>
      <c r="AT60" s="100">
        <f>6268.5/AT48*100</f>
        <v>7.6286594686164362</v>
      </c>
    </row>
    <row r="61" spans="1:46" x14ac:dyDescent="0.2">
      <c r="AA61" s="166"/>
      <c r="AB61" s="166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9"/>
      <c r="AO61" s="170"/>
      <c r="AP61" s="170"/>
      <c r="AQ61" s="170"/>
      <c r="AR61" s="170"/>
      <c r="AS61" s="171"/>
      <c r="AT61" s="171"/>
    </row>
    <row r="62" spans="1:46" x14ac:dyDescent="0.2">
      <c r="AA62" s="166"/>
      <c r="AB62" s="166"/>
      <c r="AC62" s="166"/>
      <c r="AD62" s="166"/>
      <c r="AE62" s="166"/>
      <c r="AF62" s="166"/>
      <c r="AG62" s="166"/>
      <c r="AH62" s="166"/>
      <c r="AI62" s="166"/>
      <c r="AJ62" s="166"/>
      <c r="AK62" s="166"/>
      <c r="AL62" s="166"/>
      <c r="AM62" s="166"/>
    </row>
    <row r="63" spans="1:46" s="70" customFormat="1" x14ac:dyDescent="0.2">
      <c r="A63" s="66"/>
      <c r="B63" s="66"/>
      <c r="C63" s="158"/>
      <c r="D63" s="158"/>
      <c r="E63" s="158"/>
      <c r="F63" s="66"/>
      <c r="G63" s="67"/>
      <c r="H63" s="67"/>
      <c r="I63" s="66"/>
      <c r="J63" s="66"/>
      <c r="K63" s="66"/>
      <c r="L63" s="67"/>
      <c r="M63" s="68"/>
      <c r="N63" s="67"/>
      <c r="O63" s="67"/>
      <c r="P63" s="67"/>
      <c r="Q63" s="69"/>
      <c r="R63" s="66"/>
      <c r="S63" s="66"/>
      <c r="T63" s="66"/>
      <c r="AA63" s="166"/>
      <c r="AB63" s="166"/>
      <c r="AC63" s="166"/>
      <c r="AD63" s="166"/>
      <c r="AE63" s="166"/>
      <c r="AF63" s="166"/>
      <c r="AG63" s="166"/>
      <c r="AH63" s="166"/>
      <c r="AI63" s="166"/>
      <c r="AJ63" s="166"/>
      <c r="AK63" s="166"/>
      <c r="AL63" s="166"/>
      <c r="AM63" s="166"/>
      <c r="AS63" s="71"/>
      <c r="AT63" s="71"/>
    </row>
  </sheetData>
  <mergeCells count="2">
    <mergeCell ref="A2:AT2"/>
    <mergeCell ref="A3:AT3"/>
  </mergeCells>
  <pageMargins left="0.19685039370078741" right="0.19685039370078741" top="0.19685039370078741" bottom="0.19685039370078741" header="0" footer="0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S455"/>
  <sheetViews>
    <sheetView tabSelected="1" zoomScale="120" zoomScaleNormal="120" workbookViewId="0">
      <pane ySplit="5" topLeftCell="A333" activePane="bottomLeft" state="frozen"/>
      <selection pane="bottomLeft" sqref="A1:S355"/>
    </sheetView>
  </sheetViews>
  <sheetFormatPr defaultColWidth="8" defaultRowHeight="10.199999999999999" x14ac:dyDescent="0.2"/>
  <cols>
    <col min="1" max="1" width="36.44140625" style="204" customWidth="1"/>
    <col min="2" max="3" width="3.33203125" style="245" customWidth="1"/>
    <col min="4" max="4" width="10" style="245" customWidth="1"/>
    <col min="5" max="5" width="4.33203125" style="245" customWidth="1"/>
    <col min="6" max="6" width="6" style="245" customWidth="1"/>
    <col min="7" max="7" width="9.44140625" style="245" customWidth="1"/>
    <col min="8" max="8" width="9.44140625" style="246" customWidth="1"/>
    <col min="9" max="9" width="9.6640625" style="172" customWidth="1"/>
    <col min="10" max="10" width="9.109375" style="172" customWidth="1"/>
    <col min="11" max="11" width="9" style="172" customWidth="1"/>
    <col min="12" max="23" width="8" style="172" customWidth="1"/>
    <col min="24" max="255" width="8" style="172"/>
    <col min="256" max="256" width="60.6640625" style="172" customWidth="1"/>
    <col min="257" max="257" width="5.109375" style="172" customWidth="1"/>
    <col min="258" max="258" width="4.6640625" style="172" customWidth="1"/>
    <col min="259" max="259" width="4.88671875" style="172" customWidth="1"/>
    <col min="260" max="260" width="14.109375" style="172" customWidth="1"/>
    <col min="261" max="261" width="6" style="172" customWidth="1"/>
    <col min="262" max="264" width="15.33203125" style="172" customWidth="1"/>
    <col min="265" max="279" width="8" style="172" customWidth="1"/>
    <col min="280" max="511" width="8" style="172"/>
    <col min="512" max="512" width="60.6640625" style="172" customWidth="1"/>
    <col min="513" max="513" width="5.109375" style="172" customWidth="1"/>
    <col min="514" max="514" width="4.6640625" style="172" customWidth="1"/>
    <col min="515" max="515" width="4.88671875" style="172" customWidth="1"/>
    <col min="516" max="516" width="14.109375" style="172" customWidth="1"/>
    <col min="517" max="517" width="6" style="172" customWidth="1"/>
    <col min="518" max="520" width="15.33203125" style="172" customWidth="1"/>
    <col min="521" max="535" width="8" style="172" customWidth="1"/>
    <col min="536" max="767" width="8" style="172"/>
    <col min="768" max="768" width="60.6640625" style="172" customWidth="1"/>
    <col min="769" max="769" width="5.109375" style="172" customWidth="1"/>
    <col min="770" max="770" width="4.6640625" style="172" customWidth="1"/>
    <col min="771" max="771" width="4.88671875" style="172" customWidth="1"/>
    <col min="772" max="772" width="14.109375" style="172" customWidth="1"/>
    <col min="773" max="773" width="6" style="172" customWidth="1"/>
    <col min="774" max="776" width="15.33203125" style="172" customWidth="1"/>
    <col min="777" max="791" width="8" style="172" customWidth="1"/>
    <col min="792" max="1023" width="8" style="172"/>
    <col min="1024" max="1024" width="60.6640625" style="172" customWidth="1"/>
    <col min="1025" max="1025" width="5.109375" style="172" customWidth="1"/>
    <col min="1026" max="1026" width="4.6640625" style="172" customWidth="1"/>
    <col min="1027" max="1027" width="4.88671875" style="172" customWidth="1"/>
    <col min="1028" max="1028" width="14.109375" style="172" customWidth="1"/>
    <col min="1029" max="1029" width="6" style="172" customWidth="1"/>
    <col min="1030" max="1032" width="15.33203125" style="172" customWidth="1"/>
    <col min="1033" max="1047" width="8" style="172" customWidth="1"/>
    <col min="1048" max="1279" width="8" style="172"/>
    <col min="1280" max="1280" width="60.6640625" style="172" customWidth="1"/>
    <col min="1281" max="1281" width="5.109375" style="172" customWidth="1"/>
    <col min="1282" max="1282" width="4.6640625" style="172" customWidth="1"/>
    <col min="1283" max="1283" width="4.88671875" style="172" customWidth="1"/>
    <col min="1284" max="1284" width="14.109375" style="172" customWidth="1"/>
    <col min="1285" max="1285" width="6" style="172" customWidth="1"/>
    <col min="1286" max="1288" width="15.33203125" style="172" customWidth="1"/>
    <col min="1289" max="1303" width="8" style="172" customWidth="1"/>
    <col min="1304" max="1535" width="8" style="172"/>
    <col min="1536" max="1536" width="60.6640625" style="172" customWidth="1"/>
    <col min="1537" max="1537" width="5.109375" style="172" customWidth="1"/>
    <col min="1538" max="1538" width="4.6640625" style="172" customWidth="1"/>
    <col min="1539" max="1539" width="4.88671875" style="172" customWidth="1"/>
    <col min="1540" max="1540" width="14.109375" style="172" customWidth="1"/>
    <col min="1541" max="1541" width="6" style="172" customWidth="1"/>
    <col min="1542" max="1544" width="15.33203125" style="172" customWidth="1"/>
    <col min="1545" max="1559" width="8" style="172" customWidth="1"/>
    <col min="1560" max="1791" width="8" style="172"/>
    <col min="1792" max="1792" width="60.6640625" style="172" customWidth="1"/>
    <col min="1793" max="1793" width="5.109375" style="172" customWidth="1"/>
    <col min="1794" max="1794" width="4.6640625" style="172" customWidth="1"/>
    <col min="1795" max="1795" width="4.88671875" style="172" customWidth="1"/>
    <col min="1796" max="1796" width="14.109375" style="172" customWidth="1"/>
    <col min="1797" max="1797" width="6" style="172" customWidth="1"/>
    <col min="1798" max="1800" width="15.33203125" style="172" customWidth="1"/>
    <col min="1801" max="1815" width="8" style="172" customWidth="1"/>
    <col min="1816" max="2047" width="8" style="172"/>
    <col min="2048" max="2048" width="60.6640625" style="172" customWidth="1"/>
    <col min="2049" max="2049" width="5.109375" style="172" customWidth="1"/>
    <col min="2050" max="2050" width="4.6640625" style="172" customWidth="1"/>
    <col min="2051" max="2051" width="4.88671875" style="172" customWidth="1"/>
    <col min="2052" max="2052" width="14.109375" style="172" customWidth="1"/>
    <col min="2053" max="2053" width="6" style="172" customWidth="1"/>
    <col min="2054" max="2056" width="15.33203125" style="172" customWidth="1"/>
    <col min="2057" max="2071" width="8" style="172" customWidth="1"/>
    <col min="2072" max="2303" width="8" style="172"/>
    <col min="2304" max="2304" width="60.6640625" style="172" customWidth="1"/>
    <col min="2305" max="2305" width="5.109375" style="172" customWidth="1"/>
    <col min="2306" max="2306" width="4.6640625" style="172" customWidth="1"/>
    <col min="2307" max="2307" width="4.88671875" style="172" customWidth="1"/>
    <col min="2308" max="2308" width="14.109375" style="172" customWidth="1"/>
    <col min="2309" max="2309" width="6" style="172" customWidth="1"/>
    <col min="2310" max="2312" width="15.33203125" style="172" customWidth="1"/>
    <col min="2313" max="2327" width="8" style="172" customWidth="1"/>
    <col min="2328" max="2559" width="8" style="172"/>
    <col min="2560" max="2560" width="60.6640625" style="172" customWidth="1"/>
    <col min="2561" max="2561" width="5.109375" style="172" customWidth="1"/>
    <col min="2562" max="2562" width="4.6640625" style="172" customWidth="1"/>
    <col min="2563" max="2563" width="4.88671875" style="172" customWidth="1"/>
    <col min="2564" max="2564" width="14.109375" style="172" customWidth="1"/>
    <col min="2565" max="2565" width="6" style="172" customWidth="1"/>
    <col min="2566" max="2568" width="15.33203125" style="172" customWidth="1"/>
    <col min="2569" max="2583" width="8" style="172" customWidth="1"/>
    <col min="2584" max="2815" width="8" style="172"/>
    <col min="2816" max="2816" width="60.6640625" style="172" customWidth="1"/>
    <col min="2817" max="2817" width="5.109375" style="172" customWidth="1"/>
    <col min="2818" max="2818" width="4.6640625" style="172" customWidth="1"/>
    <col min="2819" max="2819" width="4.88671875" style="172" customWidth="1"/>
    <col min="2820" max="2820" width="14.109375" style="172" customWidth="1"/>
    <col min="2821" max="2821" width="6" style="172" customWidth="1"/>
    <col min="2822" max="2824" width="15.33203125" style="172" customWidth="1"/>
    <col min="2825" max="2839" width="8" style="172" customWidth="1"/>
    <col min="2840" max="3071" width="8" style="172"/>
    <col min="3072" max="3072" width="60.6640625" style="172" customWidth="1"/>
    <col min="3073" max="3073" width="5.109375" style="172" customWidth="1"/>
    <col min="3074" max="3074" width="4.6640625" style="172" customWidth="1"/>
    <col min="3075" max="3075" width="4.88671875" style="172" customWidth="1"/>
    <col min="3076" max="3076" width="14.109375" style="172" customWidth="1"/>
    <col min="3077" max="3077" width="6" style="172" customWidth="1"/>
    <col min="3078" max="3080" width="15.33203125" style="172" customWidth="1"/>
    <col min="3081" max="3095" width="8" style="172" customWidth="1"/>
    <col min="3096" max="3327" width="8" style="172"/>
    <col min="3328" max="3328" width="60.6640625" style="172" customWidth="1"/>
    <col min="3329" max="3329" width="5.109375" style="172" customWidth="1"/>
    <col min="3330" max="3330" width="4.6640625" style="172" customWidth="1"/>
    <col min="3331" max="3331" width="4.88671875" style="172" customWidth="1"/>
    <col min="3332" max="3332" width="14.109375" style="172" customWidth="1"/>
    <col min="3333" max="3333" width="6" style="172" customWidth="1"/>
    <col min="3334" max="3336" width="15.33203125" style="172" customWidth="1"/>
    <col min="3337" max="3351" width="8" style="172" customWidth="1"/>
    <col min="3352" max="3583" width="8" style="172"/>
    <col min="3584" max="3584" width="60.6640625" style="172" customWidth="1"/>
    <col min="3585" max="3585" width="5.109375" style="172" customWidth="1"/>
    <col min="3586" max="3586" width="4.6640625" style="172" customWidth="1"/>
    <col min="3587" max="3587" width="4.88671875" style="172" customWidth="1"/>
    <col min="3588" max="3588" width="14.109375" style="172" customWidth="1"/>
    <col min="3589" max="3589" width="6" style="172" customWidth="1"/>
    <col min="3590" max="3592" width="15.33203125" style="172" customWidth="1"/>
    <col min="3593" max="3607" width="8" style="172" customWidth="1"/>
    <col min="3608" max="3839" width="8" style="172"/>
    <col min="3840" max="3840" width="60.6640625" style="172" customWidth="1"/>
    <col min="3841" max="3841" width="5.109375" style="172" customWidth="1"/>
    <col min="3842" max="3842" width="4.6640625" style="172" customWidth="1"/>
    <col min="3843" max="3843" width="4.88671875" style="172" customWidth="1"/>
    <col min="3844" max="3844" width="14.109375" style="172" customWidth="1"/>
    <col min="3845" max="3845" width="6" style="172" customWidth="1"/>
    <col min="3846" max="3848" width="15.33203125" style="172" customWidth="1"/>
    <col min="3849" max="3863" width="8" style="172" customWidth="1"/>
    <col min="3864" max="4095" width="8" style="172"/>
    <col min="4096" max="4096" width="60.6640625" style="172" customWidth="1"/>
    <col min="4097" max="4097" width="5.109375" style="172" customWidth="1"/>
    <col min="4098" max="4098" width="4.6640625" style="172" customWidth="1"/>
    <col min="4099" max="4099" width="4.88671875" style="172" customWidth="1"/>
    <col min="4100" max="4100" width="14.109375" style="172" customWidth="1"/>
    <col min="4101" max="4101" width="6" style="172" customWidth="1"/>
    <col min="4102" max="4104" width="15.33203125" style="172" customWidth="1"/>
    <col min="4105" max="4119" width="8" style="172" customWidth="1"/>
    <col min="4120" max="4351" width="8" style="172"/>
    <col min="4352" max="4352" width="60.6640625" style="172" customWidth="1"/>
    <col min="4353" max="4353" width="5.109375" style="172" customWidth="1"/>
    <col min="4354" max="4354" width="4.6640625" style="172" customWidth="1"/>
    <col min="4355" max="4355" width="4.88671875" style="172" customWidth="1"/>
    <col min="4356" max="4356" width="14.109375" style="172" customWidth="1"/>
    <col min="4357" max="4357" width="6" style="172" customWidth="1"/>
    <col min="4358" max="4360" width="15.33203125" style="172" customWidth="1"/>
    <col min="4361" max="4375" width="8" style="172" customWidth="1"/>
    <col min="4376" max="4607" width="8" style="172"/>
    <col min="4608" max="4608" width="60.6640625" style="172" customWidth="1"/>
    <col min="4609" max="4609" width="5.109375" style="172" customWidth="1"/>
    <col min="4610" max="4610" width="4.6640625" style="172" customWidth="1"/>
    <col min="4611" max="4611" width="4.88671875" style="172" customWidth="1"/>
    <col min="4612" max="4612" width="14.109375" style="172" customWidth="1"/>
    <col min="4613" max="4613" width="6" style="172" customWidth="1"/>
    <col min="4614" max="4616" width="15.33203125" style="172" customWidth="1"/>
    <col min="4617" max="4631" width="8" style="172" customWidth="1"/>
    <col min="4632" max="4863" width="8" style="172"/>
    <col min="4864" max="4864" width="60.6640625" style="172" customWidth="1"/>
    <col min="4865" max="4865" width="5.109375" style="172" customWidth="1"/>
    <col min="4866" max="4866" width="4.6640625" style="172" customWidth="1"/>
    <col min="4867" max="4867" width="4.88671875" style="172" customWidth="1"/>
    <col min="4868" max="4868" width="14.109375" style="172" customWidth="1"/>
    <col min="4869" max="4869" width="6" style="172" customWidth="1"/>
    <col min="4870" max="4872" width="15.33203125" style="172" customWidth="1"/>
    <col min="4873" max="4887" width="8" style="172" customWidth="1"/>
    <col min="4888" max="5119" width="8" style="172"/>
    <col min="5120" max="5120" width="60.6640625" style="172" customWidth="1"/>
    <col min="5121" max="5121" width="5.109375" style="172" customWidth="1"/>
    <col min="5122" max="5122" width="4.6640625" style="172" customWidth="1"/>
    <col min="5123" max="5123" width="4.88671875" style="172" customWidth="1"/>
    <col min="5124" max="5124" width="14.109375" style="172" customWidth="1"/>
    <col min="5125" max="5125" width="6" style="172" customWidth="1"/>
    <col min="5126" max="5128" width="15.33203125" style="172" customWidth="1"/>
    <col min="5129" max="5143" width="8" style="172" customWidth="1"/>
    <col min="5144" max="5375" width="8" style="172"/>
    <col min="5376" max="5376" width="60.6640625" style="172" customWidth="1"/>
    <col min="5377" max="5377" width="5.109375" style="172" customWidth="1"/>
    <col min="5378" max="5378" width="4.6640625" style="172" customWidth="1"/>
    <col min="5379" max="5379" width="4.88671875" style="172" customWidth="1"/>
    <col min="5380" max="5380" width="14.109375" style="172" customWidth="1"/>
    <col min="5381" max="5381" width="6" style="172" customWidth="1"/>
    <col min="5382" max="5384" width="15.33203125" style="172" customWidth="1"/>
    <col min="5385" max="5399" width="8" style="172" customWidth="1"/>
    <col min="5400" max="5631" width="8" style="172"/>
    <col min="5632" max="5632" width="60.6640625" style="172" customWidth="1"/>
    <col min="5633" max="5633" width="5.109375" style="172" customWidth="1"/>
    <col min="5634" max="5634" width="4.6640625" style="172" customWidth="1"/>
    <col min="5635" max="5635" width="4.88671875" style="172" customWidth="1"/>
    <col min="5636" max="5636" width="14.109375" style="172" customWidth="1"/>
    <col min="5637" max="5637" width="6" style="172" customWidth="1"/>
    <col min="5638" max="5640" width="15.33203125" style="172" customWidth="1"/>
    <col min="5641" max="5655" width="8" style="172" customWidth="1"/>
    <col min="5656" max="5887" width="8" style="172"/>
    <col min="5888" max="5888" width="60.6640625" style="172" customWidth="1"/>
    <col min="5889" max="5889" width="5.109375" style="172" customWidth="1"/>
    <col min="5890" max="5890" width="4.6640625" style="172" customWidth="1"/>
    <col min="5891" max="5891" width="4.88671875" style="172" customWidth="1"/>
    <col min="5892" max="5892" width="14.109375" style="172" customWidth="1"/>
    <col min="5893" max="5893" width="6" style="172" customWidth="1"/>
    <col min="5894" max="5896" width="15.33203125" style="172" customWidth="1"/>
    <col min="5897" max="5911" width="8" style="172" customWidth="1"/>
    <col min="5912" max="6143" width="8" style="172"/>
    <col min="6144" max="6144" width="60.6640625" style="172" customWidth="1"/>
    <col min="6145" max="6145" width="5.109375" style="172" customWidth="1"/>
    <col min="6146" max="6146" width="4.6640625" style="172" customWidth="1"/>
    <col min="6147" max="6147" width="4.88671875" style="172" customWidth="1"/>
    <col min="6148" max="6148" width="14.109375" style="172" customWidth="1"/>
    <col min="6149" max="6149" width="6" style="172" customWidth="1"/>
    <col min="6150" max="6152" width="15.33203125" style="172" customWidth="1"/>
    <col min="6153" max="6167" width="8" style="172" customWidth="1"/>
    <col min="6168" max="6399" width="8" style="172"/>
    <col min="6400" max="6400" width="60.6640625" style="172" customWidth="1"/>
    <col min="6401" max="6401" width="5.109375" style="172" customWidth="1"/>
    <col min="6402" max="6402" width="4.6640625" style="172" customWidth="1"/>
    <col min="6403" max="6403" width="4.88671875" style="172" customWidth="1"/>
    <col min="6404" max="6404" width="14.109375" style="172" customWidth="1"/>
    <col min="6405" max="6405" width="6" style="172" customWidth="1"/>
    <col min="6406" max="6408" width="15.33203125" style="172" customWidth="1"/>
    <col min="6409" max="6423" width="8" style="172" customWidth="1"/>
    <col min="6424" max="6655" width="8" style="172"/>
    <col min="6656" max="6656" width="60.6640625" style="172" customWidth="1"/>
    <col min="6657" max="6657" width="5.109375" style="172" customWidth="1"/>
    <col min="6658" max="6658" width="4.6640625" style="172" customWidth="1"/>
    <col min="6659" max="6659" width="4.88671875" style="172" customWidth="1"/>
    <col min="6660" max="6660" width="14.109375" style="172" customWidth="1"/>
    <col min="6661" max="6661" width="6" style="172" customWidth="1"/>
    <col min="6662" max="6664" width="15.33203125" style="172" customWidth="1"/>
    <col min="6665" max="6679" width="8" style="172" customWidth="1"/>
    <col min="6680" max="6911" width="8" style="172"/>
    <col min="6912" max="6912" width="60.6640625" style="172" customWidth="1"/>
    <col min="6913" max="6913" width="5.109375" style="172" customWidth="1"/>
    <col min="6914" max="6914" width="4.6640625" style="172" customWidth="1"/>
    <col min="6915" max="6915" width="4.88671875" style="172" customWidth="1"/>
    <col min="6916" max="6916" width="14.109375" style="172" customWidth="1"/>
    <col min="6917" max="6917" width="6" style="172" customWidth="1"/>
    <col min="6918" max="6920" width="15.33203125" style="172" customWidth="1"/>
    <col min="6921" max="6935" width="8" style="172" customWidth="1"/>
    <col min="6936" max="7167" width="8" style="172"/>
    <col min="7168" max="7168" width="60.6640625" style="172" customWidth="1"/>
    <col min="7169" max="7169" width="5.109375" style="172" customWidth="1"/>
    <col min="7170" max="7170" width="4.6640625" style="172" customWidth="1"/>
    <col min="7171" max="7171" width="4.88671875" style="172" customWidth="1"/>
    <col min="7172" max="7172" width="14.109375" style="172" customWidth="1"/>
    <col min="7173" max="7173" width="6" style="172" customWidth="1"/>
    <col min="7174" max="7176" width="15.33203125" style="172" customWidth="1"/>
    <col min="7177" max="7191" width="8" style="172" customWidth="1"/>
    <col min="7192" max="7423" width="8" style="172"/>
    <col min="7424" max="7424" width="60.6640625" style="172" customWidth="1"/>
    <col min="7425" max="7425" width="5.109375" style="172" customWidth="1"/>
    <col min="7426" max="7426" width="4.6640625" style="172" customWidth="1"/>
    <col min="7427" max="7427" width="4.88671875" style="172" customWidth="1"/>
    <col min="7428" max="7428" width="14.109375" style="172" customWidth="1"/>
    <col min="7429" max="7429" width="6" style="172" customWidth="1"/>
    <col min="7430" max="7432" width="15.33203125" style="172" customWidth="1"/>
    <col min="7433" max="7447" width="8" style="172" customWidth="1"/>
    <col min="7448" max="7679" width="8" style="172"/>
    <col min="7680" max="7680" width="60.6640625" style="172" customWidth="1"/>
    <col min="7681" max="7681" width="5.109375" style="172" customWidth="1"/>
    <col min="7682" max="7682" width="4.6640625" style="172" customWidth="1"/>
    <col min="7683" max="7683" width="4.88671875" style="172" customWidth="1"/>
    <col min="7684" max="7684" width="14.109375" style="172" customWidth="1"/>
    <col min="7685" max="7685" width="6" style="172" customWidth="1"/>
    <col min="7686" max="7688" width="15.33203125" style="172" customWidth="1"/>
    <col min="7689" max="7703" width="8" style="172" customWidth="1"/>
    <col min="7704" max="7935" width="8" style="172"/>
    <col min="7936" max="7936" width="60.6640625" style="172" customWidth="1"/>
    <col min="7937" max="7937" width="5.109375" style="172" customWidth="1"/>
    <col min="7938" max="7938" width="4.6640625" style="172" customWidth="1"/>
    <col min="7939" max="7939" width="4.88671875" style="172" customWidth="1"/>
    <col min="7940" max="7940" width="14.109375" style="172" customWidth="1"/>
    <col min="7941" max="7941" width="6" style="172" customWidth="1"/>
    <col min="7942" max="7944" width="15.33203125" style="172" customWidth="1"/>
    <col min="7945" max="7959" width="8" style="172" customWidth="1"/>
    <col min="7960" max="8191" width="8" style="172"/>
    <col min="8192" max="8192" width="60.6640625" style="172" customWidth="1"/>
    <col min="8193" max="8193" width="5.109375" style="172" customWidth="1"/>
    <col min="8194" max="8194" width="4.6640625" style="172" customWidth="1"/>
    <col min="8195" max="8195" width="4.88671875" style="172" customWidth="1"/>
    <col min="8196" max="8196" width="14.109375" style="172" customWidth="1"/>
    <col min="8197" max="8197" width="6" style="172" customWidth="1"/>
    <col min="8198" max="8200" width="15.33203125" style="172" customWidth="1"/>
    <col min="8201" max="8215" width="8" style="172" customWidth="1"/>
    <col min="8216" max="8447" width="8" style="172"/>
    <col min="8448" max="8448" width="60.6640625" style="172" customWidth="1"/>
    <col min="8449" max="8449" width="5.109375" style="172" customWidth="1"/>
    <col min="8450" max="8450" width="4.6640625" style="172" customWidth="1"/>
    <col min="8451" max="8451" width="4.88671875" style="172" customWidth="1"/>
    <col min="8452" max="8452" width="14.109375" style="172" customWidth="1"/>
    <col min="8453" max="8453" width="6" style="172" customWidth="1"/>
    <col min="8454" max="8456" width="15.33203125" style="172" customWidth="1"/>
    <col min="8457" max="8471" width="8" style="172" customWidth="1"/>
    <col min="8472" max="8703" width="8" style="172"/>
    <col min="8704" max="8704" width="60.6640625" style="172" customWidth="1"/>
    <col min="8705" max="8705" width="5.109375" style="172" customWidth="1"/>
    <col min="8706" max="8706" width="4.6640625" style="172" customWidth="1"/>
    <col min="8707" max="8707" width="4.88671875" style="172" customWidth="1"/>
    <col min="8708" max="8708" width="14.109375" style="172" customWidth="1"/>
    <col min="8709" max="8709" width="6" style="172" customWidth="1"/>
    <col min="8710" max="8712" width="15.33203125" style="172" customWidth="1"/>
    <col min="8713" max="8727" width="8" style="172" customWidth="1"/>
    <col min="8728" max="8959" width="8" style="172"/>
    <col min="8960" max="8960" width="60.6640625" style="172" customWidth="1"/>
    <col min="8961" max="8961" width="5.109375" style="172" customWidth="1"/>
    <col min="8962" max="8962" width="4.6640625" style="172" customWidth="1"/>
    <col min="8963" max="8963" width="4.88671875" style="172" customWidth="1"/>
    <col min="8964" max="8964" width="14.109375" style="172" customWidth="1"/>
    <col min="8965" max="8965" width="6" style="172" customWidth="1"/>
    <col min="8966" max="8968" width="15.33203125" style="172" customWidth="1"/>
    <col min="8969" max="8983" width="8" style="172" customWidth="1"/>
    <col min="8984" max="9215" width="8" style="172"/>
    <col min="9216" max="9216" width="60.6640625" style="172" customWidth="1"/>
    <col min="9217" max="9217" width="5.109375" style="172" customWidth="1"/>
    <col min="9218" max="9218" width="4.6640625" style="172" customWidth="1"/>
    <col min="9219" max="9219" width="4.88671875" style="172" customWidth="1"/>
    <col min="9220" max="9220" width="14.109375" style="172" customWidth="1"/>
    <col min="9221" max="9221" width="6" style="172" customWidth="1"/>
    <col min="9222" max="9224" width="15.33203125" style="172" customWidth="1"/>
    <col min="9225" max="9239" width="8" style="172" customWidth="1"/>
    <col min="9240" max="9471" width="8" style="172"/>
    <col min="9472" max="9472" width="60.6640625" style="172" customWidth="1"/>
    <col min="9473" max="9473" width="5.109375" style="172" customWidth="1"/>
    <col min="9474" max="9474" width="4.6640625" style="172" customWidth="1"/>
    <col min="9475" max="9475" width="4.88671875" style="172" customWidth="1"/>
    <col min="9476" max="9476" width="14.109375" style="172" customWidth="1"/>
    <col min="9477" max="9477" width="6" style="172" customWidth="1"/>
    <col min="9478" max="9480" width="15.33203125" style="172" customWidth="1"/>
    <col min="9481" max="9495" width="8" style="172" customWidth="1"/>
    <col min="9496" max="9727" width="8" style="172"/>
    <col min="9728" max="9728" width="60.6640625" style="172" customWidth="1"/>
    <col min="9729" max="9729" width="5.109375" style="172" customWidth="1"/>
    <col min="9730" max="9730" width="4.6640625" style="172" customWidth="1"/>
    <col min="9731" max="9731" width="4.88671875" style="172" customWidth="1"/>
    <col min="9732" max="9732" width="14.109375" style="172" customWidth="1"/>
    <col min="9733" max="9733" width="6" style="172" customWidth="1"/>
    <col min="9734" max="9736" width="15.33203125" style="172" customWidth="1"/>
    <col min="9737" max="9751" width="8" style="172" customWidth="1"/>
    <col min="9752" max="9983" width="8" style="172"/>
    <col min="9984" max="9984" width="60.6640625" style="172" customWidth="1"/>
    <col min="9985" max="9985" width="5.109375" style="172" customWidth="1"/>
    <col min="9986" max="9986" width="4.6640625" style="172" customWidth="1"/>
    <col min="9987" max="9987" width="4.88671875" style="172" customWidth="1"/>
    <col min="9988" max="9988" width="14.109375" style="172" customWidth="1"/>
    <col min="9989" max="9989" width="6" style="172" customWidth="1"/>
    <col min="9990" max="9992" width="15.33203125" style="172" customWidth="1"/>
    <col min="9993" max="10007" width="8" style="172" customWidth="1"/>
    <col min="10008" max="10239" width="8" style="172"/>
    <col min="10240" max="10240" width="60.6640625" style="172" customWidth="1"/>
    <col min="10241" max="10241" width="5.109375" style="172" customWidth="1"/>
    <col min="10242" max="10242" width="4.6640625" style="172" customWidth="1"/>
    <col min="10243" max="10243" width="4.88671875" style="172" customWidth="1"/>
    <col min="10244" max="10244" width="14.109375" style="172" customWidth="1"/>
    <col min="10245" max="10245" width="6" style="172" customWidth="1"/>
    <col min="10246" max="10248" width="15.33203125" style="172" customWidth="1"/>
    <col min="10249" max="10263" width="8" style="172" customWidth="1"/>
    <col min="10264" max="10495" width="8" style="172"/>
    <col min="10496" max="10496" width="60.6640625" style="172" customWidth="1"/>
    <col min="10497" max="10497" width="5.109375" style="172" customWidth="1"/>
    <col min="10498" max="10498" width="4.6640625" style="172" customWidth="1"/>
    <col min="10499" max="10499" width="4.88671875" style="172" customWidth="1"/>
    <col min="10500" max="10500" width="14.109375" style="172" customWidth="1"/>
    <col min="10501" max="10501" width="6" style="172" customWidth="1"/>
    <col min="10502" max="10504" width="15.33203125" style="172" customWidth="1"/>
    <col min="10505" max="10519" width="8" style="172" customWidth="1"/>
    <col min="10520" max="10751" width="8" style="172"/>
    <col min="10752" max="10752" width="60.6640625" style="172" customWidth="1"/>
    <col min="10753" max="10753" width="5.109375" style="172" customWidth="1"/>
    <col min="10754" max="10754" width="4.6640625" style="172" customWidth="1"/>
    <col min="10755" max="10755" width="4.88671875" style="172" customWidth="1"/>
    <col min="10756" max="10756" width="14.109375" style="172" customWidth="1"/>
    <col min="10757" max="10757" width="6" style="172" customWidth="1"/>
    <col min="10758" max="10760" width="15.33203125" style="172" customWidth="1"/>
    <col min="10761" max="10775" width="8" style="172" customWidth="1"/>
    <col min="10776" max="11007" width="8" style="172"/>
    <col min="11008" max="11008" width="60.6640625" style="172" customWidth="1"/>
    <col min="11009" max="11009" width="5.109375" style="172" customWidth="1"/>
    <col min="11010" max="11010" width="4.6640625" style="172" customWidth="1"/>
    <col min="11011" max="11011" width="4.88671875" style="172" customWidth="1"/>
    <col min="11012" max="11012" width="14.109375" style="172" customWidth="1"/>
    <col min="11013" max="11013" width="6" style="172" customWidth="1"/>
    <col min="11014" max="11016" width="15.33203125" style="172" customWidth="1"/>
    <col min="11017" max="11031" width="8" style="172" customWidth="1"/>
    <col min="11032" max="11263" width="8" style="172"/>
    <col min="11264" max="11264" width="60.6640625" style="172" customWidth="1"/>
    <col min="11265" max="11265" width="5.109375" style="172" customWidth="1"/>
    <col min="11266" max="11266" width="4.6640625" style="172" customWidth="1"/>
    <col min="11267" max="11267" width="4.88671875" style="172" customWidth="1"/>
    <col min="11268" max="11268" width="14.109375" style="172" customWidth="1"/>
    <col min="11269" max="11269" width="6" style="172" customWidth="1"/>
    <col min="11270" max="11272" width="15.33203125" style="172" customWidth="1"/>
    <col min="11273" max="11287" width="8" style="172" customWidth="1"/>
    <col min="11288" max="11519" width="8" style="172"/>
    <col min="11520" max="11520" width="60.6640625" style="172" customWidth="1"/>
    <col min="11521" max="11521" width="5.109375" style="172" customWidth="1"/>
    <col min="11522" max="11522" width="4.6640625" style="172" customWidth="1"/>
    <col min="11523" max="11523" width="4.88671875" style="172" customWidth="1"/>
    <col min="11524" max="11524" width="14.109375" style="172" customWidth="1"/>
    <col min="11525" max="11525" width="6" style="172" customWidth="1"/>
    <col min="11526" max="11528" width="15.33203125" style="172" customWidth="1"/>
    <col min="11529" max="11543" width="8" style="172" customWidth="1"/>
    <col min="11544" max="11775" width="8" style="172"/>
    <col min="11776" max="11776" width="60.6640625" style="172" customWidth="1"/>
    <col min="11777" max="11777" width="5.109375" style="172" customWidth="1"/>
    <col min="11778" max="11778" width="4.6640625" style="172" customWidth="1"/>
    <col min="11779" max="11779" width="4.88671875" style="172" customWidth="1"/>
    <col min="11780" max="11780" width="14.109375" style="172" customWidth="1"/>
    <col min="11781" max="11781" width="6" style="172" customWidth="1"/>
    <col min="11782" max="11784" width="15.33203125" style="172" customWidth="1"/>
    <col min="11785" max="11799" width="8" style="172" customWidth="1"/>
    <col min="11800" max="12031" width="8" style="172"/>
    <col min="12032" max="12032" width="60.6640625" style="172" customWidth="1"/>
    <col min="12033" max="12033" width="5.109375" style="172" customWidth="1"/>
    <col min="12034" max="12034" width="4.6640625" style="172" customWidth="1"/>
    <col min="12035" max="12035" width="4.88671875" style="172" customWidth="1"/>
    <col min="12036" max="12036" width="14.109375" style="172" customWidth="1"/>
    <col min="12037" max="12037" width="6" style="172" customWidth="1"/>
    <col min="12038" max="12040" width="15.33203125" style="172" customWidth="1"/>
    <col min="12041" max="12055" width="8" style="172" customWidth="1"/>
    <col min="12056" max="12287" width="8" style="172"/>
    <col min="12288" max="12288" width="60.6640625" style="172" customWidth="1"/>
    <col min="12289" max="12289" width="5.109375" style="172" customWidth="1"/>
    <col min="12290" max="12290" width="4.6640625" style="172" customWidth="1"/>
    <col min="12291" max="12291" width="4.88671875" style="172" customWidth="1"/>
    <col min="12292" max="12292" width="14.109375" style="172" customWidth="1"/>
    <col min="12293" max="12293" width="6" style="172" customWidth="1"/>
    <col min="12294" max="12296" width="15.33203125" style="172" customWidth="1"/>
    <col min="12297" max="12311" width="8" style="172" customWidth="1"/>
    <col min="12312" max="12543" width="8" style="172"/>
    <col min="12544" max="12544" width="60.6640625" style="172" customWidth="1"/>
    <col min="12545" max="12545" width="5.109375" style="172" customWidth="1"/>
    <col min="12546" max="12546" width="4.6640625" style="172" customWidth="1"/>
    <col min="12547" max="12547" width="4.88671875" style="172" customWidth="1"/>
    <col min="12548" max="12548" width="14.109375" style="172" customWidth="1"/>
    <col min="12549" max="12549" width="6" style="172" customWidth="1"/>
    <col min="12550" max="12552" width="15.33203125" style="172" customWidth="1"/>
    <col min="12553" max="12567" width="8" style="172" customWidth="1"/>
    <col min="12568" max="12799" width="8" style="172"/>
    <col min="12800" max="12800" width="60.6640625" style="172" customWidth="1"/>
    <col min="12801" max="12801" width="5.109375" style="172" customWidth="1"/>
    <col min="12802" max="12802" width="4.6640625" style="172" customWidth="1"/>
    <col min="12803" max="12803" width="4.88671875" style="172" customWidth="1"/>
    <col min="12804" max="12804" width="14.109375" style="172" customWidth="1"/>
    <col min="12805" max="12805" width="6" style="172" customWidth="1"/>
    <col min="12806" max="12808" width="15.33203125" style="172" customWidth="1"/>
    <col min="12809" max="12823" width="8" style="172" customWidth="1"/>
    <col min="12824" max="13055" width="8" style="172"/>
    <col min="13056" max="13056" width="60.6640625" style="172" customWidth="1"/>
    <col min="13057" max="13057" width="5.109375" style="172" customWidth="1"/>
    <col min="13058" max="13058" width="4.6640625" style="172" customWidth="1"/>
    <col min="13059" max="13059" width="4.88671875" style="172" customWidth="1"/>
    <col min="13060" max="13060" width="14.109375" style="172" customWidth="1"/>
    <col min="13061" max="13061" width="6" style="172" customWidth="1"/>
    <col min="13062" max="13064" width="15.33203125" style="172" customWidth="1"/>
    <col min="13065" max="13079" width="8" style="172" customWidth="1"/>
    <col min="13080" max="13311" width="8" style="172"/>
    <col min="13312" max="13312" width="60.6640625" style="172" customWidth="1"/>
    <col min="13313" max="13313" width="5.109375" style="172" customWidth="1"/>
    <col min="13314" max="13314" width="4.6640625" style="172" customWidth="1"/>
    <col min="13315" max="13315" width="4.88671875" style="172" customWidth="1"/>
    <col min="13316" max="13316" width="14.109375" style="172" customWidth="1"/>
    <col min="13317" max="13317" width="6" style="172" customWidth="1"/>
    <col min="13318" max="13320" width="15.33203125" style="172" customWidth="1"/>
    <col min="13321" max="13335" width="8" style="172" customWidth="1"/>
    <col min="13336" max="13567" width="8" style="172"/>
    <col min="13568" max="13568" width="60.6640625" style="172" customWidth="1"/>
    <col min="13569" max="13569" width="5.109375" style="172" customWidth="1"/>
    <col min="13570" max="13570" width="4.6640625" style="172" customWidth="1"/>
    <col min="13571" max="13571" width="4.88671875" style="172" customWidth="1"/>
    <col min="13572" max="13572" width="14.109375" style="172" customWidth="1"/>
    <col min="13573" max="13573" width="6" style="172" customWidth="1"/>
    <col min="13574" max="13576" width="15.33203125" style="172" customWidth="1"/>
    <col min="13577" max="13591" width="8" style="172" customWidth="1"/>
    <col min="13592" max="13823" width="8" style="172"/>
    <col min="13824" max="13824" width="60.6640625" style="172" customWidth="1"/>
    <col min="13825" max="13825" width="5.109375" style="172" customWidth="1"/>
    <col min="13826" max="13826" width="4.6640625" style="172" customWidth="1"/>
    <col min="13827" max="13827" width="4.88671875" style="172" customWidth="1"/>
    <col min="13828" max="13828" width="14.109375" style="172" customWidth="1"/>
    <col min="13829" max="13829" width="6" style="172" customWidth="1"/>
    <col min="13830" max="13832" width="15.33203125" style="172" customWidth="1"/>
    <col min="13833" max="13847" width="8" style="172" customWidth="1"/>
    <col min="13848" max="14079" width="8" style="172"/>
    <col min="14080" max="14080" width="60.6640625" style="172" customWidth="1"/>
    <col min="14081" max="14081" width="5.109375" style="172" customWidth="1"/>
    <col min="14082" max="14082" width="4.6640625" style="172" customWidth="1"/>
    <col min="14083" max="14083" width="4.88671875" style="172" customWidth="1"/>
    <col min="14084" max="14084" width="14.109375" style="172" customWidth="1"/>
    <col min="14085" max="14085" width="6" style="172" customWidth="1"/>
    <col min="14086" max="14088" width="15.33203125" style="172" customWidth="1"/>
    <col min="14089" max="14103" width="8" style="172" customWidth="1"/>
    <col min="14104" max="14335" width="8" style="172"/>
    <col min="14336" max="14336" width="60.6640625" style="172" customWidth="1"/>
    <col min="14337" max="14337" width="5.109375" style="172" customWidth="1"/>
    <col min="14338" max="14338" width="4.6640625" style="172" customWidth="1"/>
    <col min="14339" max="14339" width="4.88671875" style="172" customWidth="1"/>
    <col min="14340" max="14340" width="14.109375" style="172" customWidth="1"/>
    <col min="14341" max="14341" width="6" style="172" customWidth="1"/>
    <col min="14342" max="14344" width="15.33203125" style="172" customWidth="1"/>
    <col min="14345" max="14359" width="8" style="172" customWidth="1"/>
    <col min="14360" max="14591" width="8" style="172"/>
    <col min="14592" max="14592" width="60.6640625" style="172" customWidth="1"/>
    <col min="14593" max="14593" width="5.109375" style="172" customWidth="1"/>
    <col min="14594" max="14594" width="4.6640625" style="172" customWidth="1"/>
    <col min="14595" max="14595" width="4.88671875" style="172" customWidth="1"/>
    <col min="14596" max="14596" width="14.109375" style="172" customWidth="1"/>
    <col min="14597" max="14597" width="6" style="172" customWidth="1"/>
    <col min="14598" max="14600" width="15.33203125" style="172" customWidth="1"/>
    <col min="14601" max="14615" width="8" style="172" customWidth="1"/>
    <col min="14616" max="14847" width="8" style="172"/>
    <col min="14848" max="14848" width="60.6640625" style="172" customWidth="1"/>
    <col min="14849" max="14849" width="5.109375" style="172" customWidth="1"/>
    <col min="14850" max="14850" width="4.6640625" style="172" customWidth="1"/>
    <col min="14851" max="14851" width="4.88671875" style="172" customWidth="1"/>
    <col min="14852" max="14852" width="14.109375" style="172" customWidth="1"/>
    <col min="14853" max="14853" width="6" style="172" customWidth="1"/>
    <col min="14854" max="14856" width="15.33203125" style="172" customWidth="1"/>
    <col min="14857" max="14871" width="8" style="172" customWidth="1"/>
    <col min="14872" max="15103" width="8" style="172"/>
    <col min="15104" max="15104" width="60.6640625" style="172" customWidth="1"/>
    <col min="15105" max="15105" width="5.109375" style="172" customWidth="1"/>
    <col min="15106" max="15106" width="4.6640625" style="172" customWidth="1"/>
    <col min="15107" max="15107" width="4.88671875" style="172" customWidth="1"/>
    <col min="15108" max="15108" width="14.109375" style="172" customWidth="1"/>
    <col min="15109" max="15109" width="6" style="172" customWidth="1"/>
    <col min="15110" max="15112" width="15.33203125" style="172" customWidth="1"/>
    <col min="15113" max="15127" width="8" style="172" customWidth="1"/>
    <col min="15128" max="15359" width="8" style="172"/>
    <col min="15360" max="15360" width="60.6640625" style="172" customWidth="1"/>
    <col min="15361" max="15361" width="5.109375" style="172" customWidth="1"/>
    <col min="15362" max="15362" width="4.6640625" style="172" customWidth="1"/>
    <col min="15363" max="15363" width="4.88671875" style="172" customWidth="1"/>
    <col min="15364" max="15364" width="14.109375" style="172" customWidth="1"/>
    <col min="15365" max="15365" width="6" style="172" customWidth="1"/>
    <col min="15366" max="15368" width="15.33203125" style="172" customWidth="1"/>
    <col min="15369" max="15383" width="8" style="172" customWidth="1"/>
    <col min="15384" max="15615" width="8" style="172"/>
    <col min="15616" max="15616" width="60.6640625" style="172" customWidth="1"/>
    <col min="15617" max="15617" width="5.109375" style="172" customWidth="1"/>
    <col min="15618" max="15618" width="4.6640625" style="172" customWidth="1"/>
    <col min="15619" max="15619" width="4.88671875" style="172" customWidth="1"/>
    <col min="15620" max="15620" width="14.109375" style="172" customWidth="1"/>
    <col min="15621" max="15621" width="6" style="172" customWidth="1"/>
    <col min="15622" max="15624" width="15.33203125" style="172" customWidth="1"/>
    <col min="15625" max="15639" width="8" style="172" customWidth="1"/>
    <col min="15640" max="15871" width="8" style="172"/>
    <col min="15872" max="15872" width="60.6640625" style="172" customWidth="1"/>
    <col min="15873" max="15873" width="5.109375" style="172" customWidth="1"/>
    <col min="15874" max="15874" width="4.6640625" style="172" customWidth="1"/>
    <col min="15875" max="15875" width="4.88671875" style="172" customWidth="1"/>
    <col min="15876" max="15876" width="14.109375" style="172" customWidth="1"/>
    <col min="15877" max="15877" width="6" style="172" customWidth="1"/>
    <col min="15878" max="15880" width="15.33203125" style="172" customWidth="1"/>
    <col min="15881" max="15895" width="8" style="172" customWidth="1"/>
    <col min="15896" max="16127" width="8" style="172"/>
    <col min="16128" max="16128" width="60.6640625" style="172" customWidth="1"/>
    <col min="16129" max="16129" width="5.109375" style="172" customWidth="1"/>
    <col min="16130" max="16130" width="4.6640625" style="172" customWidth="1"/>
    <col min="16131" max="16131" width="4.88671875" style="172" customWidth="1"/>
    <col min="16132" max="16132" width="14.109375" style="172" customWidth="1"/>
    <col min="16133" max="16133" width="6" style="172" customWidth="1"/>
    <col min="16134" max="16136" width="15.33203125" style="172" customWidth="1"/>
    <col min="16137" max="16151" width="8" style="172" customWidth="1"/>
    <col min="16152" max="16384" width="8" style="172"/>
  </cols>
  <sheetData>
    <row r="1" spans="1:19" ht="18.75" customHeight="1" x14ac:dyDescent="0.2">
      <c r="A1" s="269" t="s">
        <v>363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</row>
    <row r="2" spans="1:19" ht="32.25" customHeight="1" x14ac:dyDescent="0.25">
      <c r="A2" s="270" t="s">
        <v>364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</row>
    <row r="3" spans="1:19" ht="12.75" customHeight="1" x14ac:dyDescent="0.2">
      <c r="A3" s="173"/>
      <c r="B3" s="173"/>
      <c r="C3" s="173"/>
      <c r="D3" s="173"/>
      <c r="E3" s="173"/>
      <c r="F3" s="173"/>
      <c r="G3" s="173"/>
      <c r="H3" s="174"/>
    </row>
    <row r="4" spans="1:19" ht="13.5" customHeight="1" x14ac:dyDescent="0.2">
      <c r="A4" s="173"/>
      <c r="B4" s="173"/>
      <c r="C4" s="173"/>
      <c r="D4" s="173"/>
      <c r="E4" s="173"/>
      <c r="F4" s="173"/>
      <c r="G4" s="173"/>
      <c r="H4" s="175"/>
      <c r="R4" s="172" t="s">
        <v>365</v>
      </c>
    </row>
    <row r="5" spans="1:19" s="180" customFormat="1" ht="93.75" customHeight="1" x14ac:dyDescent="0.2">
      <c r="A5" s="176" t="s">
        <v>258</v>
      </c>
      <c r="B5" s="176" t="s">
        <v>259</v>
      </c>
      <c r="C5" s="176" t="s">
        <v>260</v>
      </c>
      <c r="D5" s="176" t="s">
        <v>366</v>
      </c>
      <c r="E5" s="176" t="s">
        <v>367</v>
      </c>
      <c r="F5" s="177" t="s">
        <v>368</v>
      </c>
      <c r="G5" s="176" t="s">
        <v>45</v>
      </c>
      <c r="H5" s="176" t="s">
        <v>50</v>
      </c>
      <c r="I5" s="178" t="s">
        <v>276</v>
      </c>
      <c r="J5" s="176" t="s">
        <v>284</v>
      </c>
      <c r="K5" s="176" t="s">
        <v>285</v>
      </c>
      <c r="L5" s="176" t="s">
        <v>286</v>
      </c>
      <c r="M5" s="176" t="s">
        <v>287</v>
      </c>
      <c r="N5" s="176" t="s">
        <v>288</v>
      </c>
      <c r="O5" s="176" t="s">
        <v>289</v>
      </c>
      <c r="P5" s="179" t="s">
        <v>290</v>
      </c>
      <c r="Q5" s="176" t="s">
        <v>292</v>
      </c>
      <c r="R5" s="176" t="s">
        <v>293</v>
      </c>
      <c r="S5" s="176" t="s">
        <v>294</v>
      </c>
    </row>
    <row r="6" spans="1:19" s="188" customFormat="1" ht="21" customHeight="1" x14ac:dyDescent="0.25">
      <c r="A6" s="181" t="s">
        <v>302</v>
      </c>
      <c r="B6" s="182" t="s">
        <v>303</v>
      </c>
      <c r="C6" s="183"/>
      <c r="D6" s="184"/>
      <c r="E6" s="185"/>
      <c r="F6" s="185"/>
      <c r="G6" s="186">
        <f t="shared" ref="G6:J6" si="0">G47+G41+G27+G7</f>
        <v>30867.100000000002</v>
      </c>
      <c r="H6" s="186">
        <f>H47+H41+H27+H7</f>
        <v>36389.804000000004</v>
      </c>
      <c r="I6" s="186">
        <f t="shared" si="0"/>
        <v>36389.771630000003</v>
      </c>
      <c r="J6" s="186">
        <f t="shared" si="0"/>
        <v>35766.396990000001</v>
      </c>
      <c r="K6" s="187">
        <f>I6-H6</f>
        <v>-3.2370000000810251E-2</v>
      </c>
      <c r="L6" s="187">
        <f>I6/H6*100</f>
        <v>99.999911046511812</v>
      </c>
      <c r="M6" s="187">
        <f>J6-I6</f>
        <v>-623.37464000000182</v>
      </c>
      <c r="N6" s="187">
        <f>J6/I6*100</f>
        <v>98.286950942318953</v>
      </c>
      <c r="O6" s="187">
        <f>J6/G6*100</f>
        <v>115.87222962312624</v>
      </c>
      <c r="P6" s="187">
        <f>J6/H6*100</f>
        <v>98.286863512647656</v>
      </c>
      <c r="Q6" s="187">
        <f>H6-G6</f>
        <v>5522.7040000000015</v>
      </c>
      <c r="R6" s="187">
        <f>H6/G6*100</f>
        <v>117.89187840775455</v>
      </c>
      <c r="S6" s="187">
        <f t="shared" ref="S6:S12" si="1">J6/$J$355*100</f>
        <v>26.48958268011209</v>
      </c>
    </row>
    <row r="7" spans="1:19" s="188" customFormat="1" ht="40.5" customHeight="1" x14ac:dyDescent="0.25">
      <c r="A7" s="189" t="s">
        <v>369</v>
      </c>
      <c r="B7" s="190">
        <v>1</v>
      </c>
      <c r="C7" s="191">
        <v>2</v>
      </c>
      <c r="D7" s="192"/>
      <c r="E7" s="193"/>
      <c r="F7" s="193"/>
      <c r="G7" s="194">
        <f t="shared" ref="G7:J7" si="2">G8+G18</f>
        <v>5116</v>
      </c>
      <c r="H7" s="194">
        <f>H8+H18</f>
        <v>5716.1270000000004</v>
      </c>
      <c r="I7" s="194">
        <f t="shared" si="2"/>
        <v>5716.1278700000003</v>
      </c>
      <c r="J7" s="194">
        <f t="shared" si="2"/>
        <v>5711.0069700000004</v>
      </c>
      <c r="K7" s="187">
        <f t="shared" ref="K7:K113" si="3">I7-H7</f>
        <v>8.6999999984982423E-4</v>
      </c>
      <c r="L7" s="187">
        <f t="shared" ref="L7:L113" si="4">I7/H7*100</f>
        <v>100.00001522009569</v>
      </c>
      <c r="M7" s="187">
        <f t="shared" ref="M7:M113" si="5">J7-I7</f>
        <v>-5.1208999999998923</v>
      </c>
      <c r="N7" s="187">
        <f t="shared" ref="N7:N113" si="6">J7/I7*100</f>
        <v>99.910413130768532</v>
      </c>
      <c r="O7" s="187">
        <f t="shared" ref="O7:O113" si="7">J7/G7*100</f>
        <v>111.63031606724003</v>
      </c>
      <c r="P7" s="187">
        <f t="shared" ref="P7:P113" si="8">J7/H7*100</f>
        <v>99.910428337229035</v>
      </c>
      <c r="Q7" s="187">
        <f t="shared" ref="Q7:Q113" si="9">H7-G7</f>
        <v>600.12700000000041</v>
      </c>
      <c r="R7" s="187">
        <f t="shared" ref="R7:R113" si="10">H7/G7*100</f>
        <v>111.73039483971854</v>
      </c>
      <c r="S7" s="187">
        <f t="shared" si="1"/>
        <v>4.2297296918336151</v>
      </c>
    </row>
    <row r="8" spans="1:19" ht="18" customHeight="1" x14ac:dyDescent="0.2">
      <c r="A8" s="126" t="s">
        <v>370</v>
      </c>
      <c r="B8" s="127">
        <v>1</v>
      </c>
      <c r="C8" s="195">
        <v>2</v>
      </c>
      <c r="D8" s="196" t="s">
        <v>371</v>
      </c>
      <c r="E8" s="197"/>
      <c r="F8" s="197"/>
      <c r="G8" s="198">
        <f t="shared" ref="G8:J11" si="11">G9</f>
        <v>1956.5</v>
      </c>
      <c r="H8" s="198">
        <f>H9</f>
        <v>2320.0590000000002</v>
      </c>
      <c r="I8" s="198">
        <f t="shared" si="11"/>
        <v>2320.0594500000002</v>
      </c>
      <c r="J8" s="198">
        <f t="shared" si="11"/>
        <v>2320.0594500000002</v>
      </c>
      <c r="K8" s="199">
        <f t="shared" si="3"/>
        <v>4.500000000007276E-4</v>
      </c>
      <c r="L8" s="199">
        <f t="shared" si="4"/>
        <v>100.00001939605848</v>
      </c>
      <c r="M8" s="199">
        <f t="shared" si="5"/>
        <v>0</v>
      </c>
      <c r="N8" s="199">
        <f t="shared" si="6"/>
        <v>100</v>
      </c>
      <c r="O8" s="199">
        <f t="shared" si="7"/>
        <v>118.58213391259905</v>
      </c>
      <c r="P8" s="199">
        <f t="shared" si="8"/>
        <v>100.00001939605848</v>
      </c>
      <c r="Q8" s="199">
        <f t="shared" si="9"/>
        <v>363.5590000000002</v>
      </c>
      <c r="R8" s="199">
        <f t="shared" si="10"/>
        <v>118.58211091234348</v>
      </c>
      <c r="S8" s="199">
        <f t="shared" si="1"/>
        <v>1.7183001866453975</v>
      </c>
    </row>
    <row r="9" spans="1:19" ht="40.5" customHeight="1" x14ac:dyDescent="0.2">
      <c r="A9" s="126" t="s">
        <v>372</v>
      </c>
      <c r="B9" s="127">
        <v>1</v>
      </c>
      <c r="C9" s="195">
        <v>2</v>
      </c>
      <c r="D9" s="196" t="s">
        <v>373</v>
      </c>
      <c r="E9" s="197"/>
      <c r="F9" s="197"/>
      <c r="G9" s="198">
        <f t="shared" si="11"/>
        <v>1956.5</v>
      </c>
      <c r="H9" s="198">
        <f>H10</f>
        <v>2320.0590000000002</v>
      </c>
      <c r="I9" s="198">
        <f t="shared" si="11"/>
        <v>2320.0594500000002</v>
      </c>
      <c r="J9" s="198">
        <f t="shared" si="11"/>
        <v>2320.0594500000002</v>
      </c>
      <c r="K9" s="199">
        <f t="shared" si="3"/>
        <v>4.500000000007276E-4</v>
      </c>
      <c r="L9" s="199">
        <f t="shared" si="4"/>
        <v>100.00001939605848</v>
      </c>
      <c r="M9" s="199">
        <f t="shared" si="5"/>
        <v>0</v>
      </c>
      <c r="N9" s="199">
        <f t="shared" si="6"/>
        <v>100</v>
      </c>
      <c r="O9" s="199">
        <f t="shared" si="7"/>
        <v>118.58213391259905</v>
      </c>
      <c r="P9" s="199">
        <f t="shared" si="8"/>
        <v>100.00001939605848</v>
      </c>
      <c r="Q9" s="199">
        <f t="shared" si="9"/>
        <v>363.5590000000002</v>
      </c>
      <c r="R9" s="199">
        <f t="shared" si="10"/>
        <v>118.58211091234348</v>
      </c>
      <c r="S9" s="199">
        <f t="shared" si="1"/>
        <v>1.7183001866453975</v>
      </c>
    </row>
    <row r="10" spans="1:19" ht="17.25" customHeight="1" x14ac:dyDescent="0.2">
      <c r="A10" s="126" t="s">
        <v>374</v>
      </c>
      <c r="B10" s="127">
        <v>1</v>
      </c>
      <c r="C10" s="195">
        <v>2</v>
      </c>
      <c r="D10" s="196" t="s">
        <v>375</v>
      </c>
      <c r="E10" s="197"/>
      <c r="F10" s="197"/>
      <c r="G10" s="198">
        <f t="shared" si="11"/>
        <v>1956.5</v>
      </c>
      <c r="H10" s="198">
        <f>H11</f>
        <v>2320.0590000000002</v>
      </c>
      <c r="I10" s="198">
        <f t="shared" si="11"/>
        <v>2320.0594500000002</v>
      </c>
      <c r="J10" s="198">
        <f t="shared" si="11"/>
        <v>2320.0594500000002</v>
      </c>
      <c r="K10" s="199">
        <f t="shared" si="3"/>
        <v>4.500000000007276E-4</v>
      </c>
      <c r="L10" s="199">
        <f t="shared" si="4"/>
        <v>100.00001939605848</v>
      </c>
      <c r="M10" s="199">
        <f t="shared" si="5"/>
        <v>0</v>
      </c>
      <c r="N10" s="199">
        <f t="shared" si="6"/>
        <v>100</v>
      </c>
      <c r="O10" s="199">
        <f t="shared" si="7"/>
        <v>118.58213391259905</v>
      </c>
      <c r="P10" s="199">
        <f t="shared" si="8"/>
        <v>100.00001939605848</v>
      </c>
      <c r="Q10" s="199">
        <f t="shared" si="9"/>
        <v>363.5590000000002</v>
      </c>
      <c r="R10" s="199">
        <f t="shared" si="10"/>
        <v>118.58211091234348</v>
      </c>
      <c r="S10" s="199">
        <f t="shared" si="1"/>
        <v>1.7183001866453975</v>
      </c>
    </row>
    <row r="11" spans="1:19" ht="50.25" customHeight="1" x14ac:dyDescent="0.2">
      <c r="A11" s="200" t="s">
        <v>376</v>
      </c>
      <c r="B11" s="127">
        <v>1</v>
      </c>
      <c r="C11" s="195">
        <v>2</v>
      </c>
      <c r="D11" s="196" t="s">
        <v>375</v>
      </c>
      <c r="E11" s="197">
        <v>100</v>
      </c>
      <c r="F11" s="197"/>
      <c r="G11" s="198">
        <f t="shared" si="11"/>
        <v>1956.5</v>
      </c>
      <c r="H11" s="198">
        <f>H12</f>
        <v>2320.0590000000002</v>
      </c>
      <c r="I11" s="198">
        <f t="shared" si="11"/>
        <v>2320.0594500000002</v>
      </c>
      <c r="J11" s="198">
        <f t="shared" si="11"/>
        <v>2320.0594500000002</v>
      </c>
      <c r="K11" s="199">
        <f t="shared" si="3"/>
        <v>4.500000000007276E-4</v>
      </c>
      <c r="L11" s="199">
        <f t="shared" si="4"/>
        <v>100.00001939605848</v>
      </c>
      <c r="M11" s="199">
        <f t="shared" si="5"/>
        <v>0</v>
      </c>
      <c r="N11" s="199">
        <f t="shared" si="6"/>
        <v>100</v>
      </c>
      <c r="O11" s="199">
        <f t="shared" si="7"/>
        <v>118.58213391259905</v>
      </c>
      <c r="P11" s="199">
        <f t="shared" si="8"/>
        <v>100.00001939605848</v>
      </c>
      <c r="Q11" s="199">
        <f t="shared" si="9"/>
        <v>363.5590000000002</v>
      </c>
      <c r="R11" s="199">
        <f t="shared" si="10"/>
        <v>118.58211091234348</v>
      </c>
      <c r="S11" s="199">
        <f t="shared" si="1"/>
        <v>1.7183001866453975</v>
      </c>
    </row>
    <row r="12" spans="1:19" ht="27" customHeight="1" x14ac:dyDescent="0.2">
      <c r="A12" s="201" t="s">
        <v>377</v>
      </c>
      <c r="B12" s="127">
        <v>1</v>
      </c>
      <c r="C12" s="195">
        <v>2</v>
      </c>
      <c r="D12" s="196" t="s">
        <v>375</v>
      </c>
      <c r="E12" s="197">
        <v>120</v>
      </c>
      <c r="F12" s="197"/>
      <c r="G12" s="198">
        <v>1956.5</v>
      </c>
      <c r="H12" s="198">
        <f>'[4]приложение №3 (5) 2022г.'!G25</f>
        <v>2320.0590000000002</v>
      </c>
      <c r="I12" s="198">
        <f>I13+I14+I15+I16+I17</f>
        <v>2320.0594500000002</v>
      </c>
      <c r="J12" s="198">
        <f>J13+J14+J15+J16+J17</f>
        <v>2320.0594500000002</v>
      </c>
      <c r="K12" s="199">
        <f t="shared" si="3"/>
        <v>4.500000000007276E-4</v>
      </c>
      <c r="L12" s="199">
        <f t="shared" si="4"/>
        <v>100.00001939605848</v>
      </c>
      <c r="M12" s="199">
        <f>J12-I12</f>
        <v>0</v>
      </c>
      <c r="N12" s="199">
        <f t="shared" si="6"/>
        <v>100</v>
      </c>
      <c r="O12" s="199">
        <f t="shared" si="7"/>
        <v>118.58213391259905</v>
      </c>
      <c r="P12" s="199">
        <f t="shared" si="8"/>
        <v>100.00001939605848</v>
      </c>
      <c r="Q12" s="199">
        <f t="shared" si="9"/>
        <v>363.5590000000002</v>
      </c>
      <c r="R12" s="199">
        <f t="shared" si="10"/>
        <v>118.58211091234348</v>
      </c>
      <c r="S12" s="199">
        <f t="shared" si="1"/>
        <v>1.7183001866453975</v>
      </c>
    </row>
    <row r="13" spans="1:19" ht="20.25" customHeight="1" x14ac:dyDescent="0.2">
      <c r="A13" s="201"/>
      <c r="B13" s="127">
        <v>1</v>
      </c>
      <c r="C13" s="195">
        <v>2</v>
      </c>
      <c r="D13" s="196" t="s">
        <v>375</v>
      </c>
      <c r="E13" s="197">
        <v>121</v>
      </c>
      <c r="F13" s="197">
        <v>211</v>
      </c>
      <c r="G13" s="198"/>
      <c r="H13" s="198"/>
      <c r="I13" s="198">
        <v>1750.7532200000001</v>
      </c>
      <c r="J13" s="198">
        <v>1750.7532200000001</v>
      </c>
      <c r="K13" s="199"/>
      <c r="L13" s="199"/>
      <c r="M13" s="199">
        <f t="shared" ref="M13:M17" si="12">J13-I13</f>
        <v>0</v>
      </c>
      <c r="N13" s="199"/>
      <c r="O13" s="199"/>
      <c r="P13" s="199"/>
      <c r="Q13" s="199"/>
      <c r="R13" s="199"/>
      <c r="S13" s="199"/>
    </row>
    <row r="14" spans="1:19" ht="18" customHeight="1" x14ac:dyDescent="0.2">
      <c r="A14" s="201"/>
      <c r="B14" s="127">
        <v>1</v>
      </c>
      <c r="C14" s="195">
        <v>2</v>
      </c>
      <c r="D14" s="196" t="s">
        <v>375</v>
      </c>
      <c r="E14" s="197">
        <v>122</v>
      </c>
      <c r="F14" s="197">
        <v>212</v>
      </c>
      <c r="G14" s="198"/>
      <c r="H14" s="198"/>
      <c r="I14" s="198">
        <v>1.5</v>
      </c>
      <c r="J14" s="198">
        <v>1.5</v>
      </c>
      <c r="K14" s="199"/>
      <c r="L14" s="199"/>
      <c r="M14" s="199">
        <f t="shared" si="12"/>
        <v>0</v>
      </c>
      <c r="N14" s="199"/>
      <c r="O14" s="199"/>
      <c r="P14" s="199"/>
      <c r="Q14" s="199"/>
      <c r="R14" s="199"/>
      <c r="S14" s="199"/>
    </row>
    <row r="15" spans="1:19" ht="23.25" customHeight="1" x14ac:dyDescent="0.2">
      <c r="A15" s="201"/>
      <c r="B15" s="127">
        <v>1</v>
      </c>
      <c r="C15" s="195">
        <v>2</v>
      </c>
      <c r="D15" s="196" t="s">
        <v>375</v>
      </c>
      <c r="E15" s="197">
        <v>122</v>
      </c>
      <c r="F15" s="197">
        <v>226</v>
      </c>
      <c r="G15" s="198"/>
      <c r="H15" s="198"/>
      <c r="I15" s="198">
        <v>17.100000000000001</v>
      </c>
      <c r="J15" s="198">
        <v>17.100000000000001</v>
      </c>
      <c r="K15" s="199"/>
      <c r="L15" s="199"/>
      <c r="M15" s="199">
        <f t="shared" si="12"/>
        <v>0</v>
      </c>
      <c r="N15" s="199"/>
      <c r="O15" s="199"/>
      <c r="P15" s="199"/>
      <c r="Q15" s="199"/>
      <c r="R15" s="199"/>
      <c r="S15" s="199"/>
    </row>
    <row r="16" spans="1:19" ht="18" customHeight="1" x14ac:dyDescent="0.2">
      <c r="A16" s="201"/>
      <c r="B16" s="127">
        <v>1</v>
      </c>
      <c r="C16" s="195">
        <v>2</v>
      </c>
      <c r="D16" s="196" t="s">
        <v>375</v>
      </c>
      <c r="E16" s="197">
        <v>122</v>
      </c>
      <c r="F16" s="197">
        <v>267</v>
      </c>
      <c r="G16" s="198"/>
      <c r="H16" s="198"/>
      <c r="I16" s="198">
        <v>65.113</v>
      </c>
      <c r="J16" s="198">
        <v>65.113</v>
      </c>
      <c r="K16" s="199"/>
      <c r="L16" s="199"/>
      <c r="M16" s="199">
        <f t="shared" si="12"/>
        <v>0</v>
      </c>
      <c r="N16" s="199"/>
      <c r="O16" s="199"/>
      <c r="P16" s="199"/>
      <c r="Q16" s="199"/>
      <c r="R16" s="199"/>
      <c r="S16" s="199"/>
    </row>
    <row r="17" spans="1:19" ht="17.25" customHeight="1" x14ac:dyDescent="0.2">
      <c r="A17" s="201"/>
      <c r="B17" s="127">
        <v>1</v>
      </c>
      <c r="C17" s="195">
        <v>2</v>
      </c>
      <c r="D17" s="196" t="s">
        <v>375</v>
      </c>
      <c r="E17" s="197">
        <v>129</v>
      </c>
      <c r="F17" s="197">
        <v>213</v>
      </c>
      <c r="G17" s="198"/>
      <c r="H17" s="198"/>
      <c r="I17" s="198">
        <v>485.59323000000001</v>
      </c>
      <c r="J17" s="198">
        <v>485.59323000000001</v>
      </c>
      <c r="K17" s="199"/>
      <c r="L17" s="199"/>
      <c r="M17" s="199">
        <f t="shared" si="12"/>
        <v>0</v>
      </c>
      <c r="N17" s="199"/>
      <c r="O17" s="199"/>
      <c r="P17" s="199"/>
      <c r="Q17" s="199"/>
      <c r="R17" s="199"/>
      <c r="S17" s="199"/>
    </row>
    <row r="18" spans="1:19" ht="17.25" customHeight="1" x14ac:dyDescent="0.2">
      <c r="A18" s="201" t="s">
        <v>378</v>
      </c>
      <c r="B18" s="127">
        <v>1</v>
      </c>
      <c r="C18" s="195">
        <v>2</v>
      </c>
      <c r="D18" s="196" t="s">
        <v>379</v>
      </c>
      <c r="E18" s="197"/>
      <c r="F18" s="197"/>
      <c r="G18" s="198">
        <f t="shared" ref="G18:J19" si="13">G19</f>
        <v>3159.5</v>
      </c>
      <c r="H18" s="198">
        <f t="shared" si="13"/>
        <v>3396.0680000000002</v>
      </c>
      <c r="I18" s="198">
        <f t="shared" si="13"/>
        <v>3396.0684199999996</v>
      </c>
      <c r="J18" s="198">
        <f t="shared" si="13"/>
        <v>3390.9475200000002</v>
      </c>
      <c r="K18" s="199">
        <f t="shared" si="3"/>
        <v>4.1999999939434929E-4</v>
      </c>
      <c r="L18" s="199">
        <f t="shared" si="4"/>
        <v>100.00001236724351</v>
      </c>
      <c r="M18" s="199">
        <f t="shared" si="5"/>
        <v>-5.1208999999994376</v>
      </c>
      <c r="N18" s="199">
        <f t="shared" si="6"/>
        <v>99.84921092961963</v>
      </c>
      <c r="O18" s="199">
        <f t="shared" si="7"/>
        <v>107.32544769742047</v>
      </c>
      <c r="P18" s="199">
        <f t="shared" si="8"/>
        <v>99.84922327821468</v>
      </c>
      <c r="Q18" s="199">
        <f t="shared" si="9"/>
        <v>236.56800000000021</v>
      </c>
      <c r="R18" s="199">
        <f t="shared" si="10"/>
        <v>107.48751384712772</v>
      </c>
      <c r="S18" s="199">
        <f>J18/$J$355*100</f>
        <v>2.5114295051882172</v>
      </c>
    </row>
    <row r="19" spans="1:19" ht="38.4" x14ac:dyDescent="0.2">
      <c r="A19" s="200" t="s">
        <v>376</v>
      </c>
      <c r="B19" s="127">
        <v>1</v>
      </c>
      <c r="C19" s="195">
        <v>2</v>
      </c>
      <c r="D19" s="196" t="s">
        <v>379</v>
      </c>
      <c r="E19" s="197">
        <v>100</v>
      </c>
      <c r="F19" s="197"/>
      <c r="G19" s="198">
        <f t="shared" si="13"/>
        <v>3159.5</v>
      </c>
      <c r="H19" s="198">
        <f t="shared" si="13"/>
        <v>3396.0680000000002</v>
      </c>
      <c r="I19" s="198">
        <f t="shared" si="13"/>
        <v>3396.0684199999996</v>
      </c>
      <c r="J19" s="198">
        <f t="shared" si="13"/>
        <v>3390.9475200000002</v>
      </c>
      <c r="K19" s="199">
        <f t="shared" si="3"/>
        <v>4.1999999939434929E-4</v>
      </c>
      <c r="L19" s="199">
        <f t="shared" si="4"/>
        <v>100.00001236724351</v>
      </c>
      <c r="M19" s="199">
        <f t="shared" si="5"/>
        <v>-5.1208999999994376</v>
      </c>
      <c r="N19" s="199">
        <f t="shared" si="6"/>
        <v>99.84921092961963</v>
      </c>
      <c r="O19" s="199">
        <f t="shared" si="7"/>
        <v>107.32544769742047</v>
      </c>
      <c r="P19" s="199">
        <f t="shared" si="8"/>
        <v>99.84922327821468</v>
      </c>
      <c r="Q19" s="199">
        <f t="shared" si="9"/>
        <v>236.56800000000021</v>
      </c>
      <c r="R19" s="199">
        <f t="shared" si="10"/>
        <v>107.48751384712772</v>
      </c>
      <c r="S19" s="199">
        <f>J19/$J$355*100</f>
        <v>2.5114295051882172</v>
      </c>
    </row>
    <row r="20" spans="1:19" ht="26.25" customHeight="1" x14ac:dyDescent="0.2">
      <c r="A20" s="201" t="s">
        <v>377</v>
      </c>
      <c r="B20" s="127">
        <v>1</v>
      </c>
      <c r="C20" s="195">
        <v>2</v>
      </c>
      <c r="D20" s="196" t="s">
        <v>379</v>
      </c>
      <c r="E20" s="197">
        <v>120</v>
      </c>
      <c r="F20" s="197"/>
      <c r="G20" s="198">
        <v>3159.5</v>
      </c>
      <c r="H20" s="198">
        <f>'[4]приложение №3 (5) 2022г.'!G28</f>
        <v>3396.0680000000002</v>
      </c>
      <c r="I20" s="198">
        <f>I21+I22+I23+I24+I25+I26</f>
        <v>3396.0684199999996</v>
      </c>
      <c r="J20" s="198">
        <f>J21+J22+J23+J24+J25+J26</f>
        <v>3390.9475200000002</v>
      </c>
      <c r="K20" s="199">
        <f t="shared" si="3"/>
        <v>4.1999999939434929E-4</v>
      </c>
      <c r="L20" s="199">
        <f t="shared" si="4"/>
        <v>100.00001236724351</v>
      </c>
      <c r="M20" s="199">
        <f t="shared" si="5"/>
        <v>-5.1208999999994376</v>
      </c>
      <c r="N20" s="199">
        <f t="shared" si="6"/>
        <v>99.84921092961963</v>
      </c>
      <c r="O20" s="199">
        <f t="shared" si="7"/>
        <v>107.32544769742047</v>
      </c>
      <c r="P20" s="199">
        <f t="shared" si="8"/>
        <v>99.84922327821468</v>
      </c>
      <c r="Q20" s="199">
        <f t="shared" si="9"/>
        <v>236.56800000000021</v>
      </c>
      <c r="R20" s="199">
        <f t="shared" si="10"/>
        <v>107.48751384712772</v>
      </c>
      <c r="S20" s="199">
        <f>J20/$J$355*100</f>
        <v>2.5114295051882172</v>
      </c>
    </row>
    <row r="21" spans="1:19" ht="21" customHeight="1" x14ac:dyDescent="0.2">
      <c r="A21" s="201"/>
      <c r="B21" s="127">
        <v>1</v>
      </c>
      <c r="C21" s="195">
        <v>2</v>
      </c>
      <c r="D21" s="196" t="s">
        <v>379</v>
      </c>
      <c r="E21" s="197">
        <v>121</v>
      </c>
      <c r="F21" s="197">
        <v>211</v>
      </c>
      <c r="G21" s="198"/>
      <c r="H21" s="198"/>
      <c r="I21" s="198">
        <v>2546.25171</v>
      </c>
      <c r="J21" s="198">
        <v>2546.2517200000002</v>
      </c>
      <c r="K21" s="199"/>
      <c r="L21" s="199"/>
      <c r="M21" s="199">
        <f t="shared" si="5"/>
        <v>1.0000000202126103E-5</v>
      </c>
      <c r="N21" s="199"/>
      <c r="O21" s="199"/>
      <c r="P21" s="199"/>
      <c r="Q21" s="199"/>
      <c r="R21" s="199"/>
      <c r="S21" s="199"/>
    </row>
    <row r="22" spans="1:19" ht="17.25" customHeight="1" x14ac:dyDescent="0.2">
      <c r="A22" s="201"/>
      <c r="B22" s="127">
        <v>1</v>
      </c>
      <c r="C22" s="195">
        <v>2</v>
      </c>
      <c r="D22" s="196" t="s">
        <v>379</v>
      </c>
      <c r="E22" s="197">
        <v>121</v>
      </c>
      <c r="F22" s="197">
        <v>266</v>
      </c>
      <c r="G22" s="198"/>
      <c r="H22" s="198"/>
      <c r="I22" s="198">
        <v>15.435600000000001</v>
      </c>
      <c r="J22" s="198">
        <v>15.435600000000001</v>
      </c>
      <c r="K22" s="199"/>
      <c r="L22" s="199"/>
      <c r="M22" s="199">
        <f t="shared" si="5"/>
        <v>0</v>
      </c>
      <c r="N22" s="199"/>
      <c r="O22" s="199"/>
      <c r="P22" s="199"/>
      <c r="Q22" s="199"/>
      <c r="R22" s="199"/>
      <c r="S22" s="199"/>
    </row>
    <row r="23" spans="1:19" ht="19.5" customHeight="1" x14ac:dyDescent="0.2">
      <c r="A23" s="201"/>
      <c r="B23" s="127">
        <v>1</v>
      </c>
      <c r="C23" s="195">
        <v>2</v>
      </c>
      <c r="D23" s="196" t="s">
        <v>379</v>
      </c>
      <c r="E23" s="197">
        <v>122</v>
      </c>
      <c r="F23" s="197">
        <v>212</v>
      </c>
      <c r="G23" s="198"/>
      <c r="H23" s="198"/>
      <c r="I23" s="198">
        <v>0.9</v>
      </c>
      <c r="J23" s="198">
        <v>0.9</v>
      </c>
      <c r="K23" s="199"/>
      <c r="L23" s="199"/>
      <c r="M23" s="199">
        <f t="shared" si="5"/>
        <v>0</v>
      </c>
      <c r="N23" s="199"/>
      <c r="O23" s="199"/>
      <c r="P23" s="199"/>
      <c r="Q23" s="199"/>
      <c r="R23" s="199"/>
      <c r="S23" s="199"/>
    </row>
    <row r="24" spans="1:19" ht="21.75" customHeight="1" x14ac:dyDescent="0.2">
      <c r="A24" s="201"/>
      <c r="B24" s="127">
        <v>1</v>
      </c>
      <c r="C24" s="195">
        <v>2</v>
      </c>
      <c r="D24" s="196" t="s">
        <v>379</v>
      </c>
      <c r="E24" s="197">
        <v>122</v>
      </c>
      <c r="F24" s="197">
        <v>226</v>
      </c>
      <c r="G24" s="198"/>
      <c r="H24" s="198"/>
      <c r="I24" s="198">
        <v>5.75</v>
      </c>
      <c r="J24" s="198">
        <v>5.75</v>
      </c>
      <c r="K24" s="199"/>
      <c r="L24" s="199"/>
      <c r="M24" s="199">
        <f t="shared" si="5"/>
        <v>0</v>
      </c>
      <c r="N24" s="199"/>
      <c r="O24" s="199"/>
      <c r="P24" s="199"/>
      <c r="Q24" s="199"/>
      <c r="R24" s="199"/>
      <c r="S24" s="199"/>
    </row>
    <row r="25" spans="1:19" ht="19.5" customHeight="1" x14ac:dyDescent="0.2">
      <c r="A25" s="201"/>
      <c r="B25" s="127">
        <v>1</v>
      </c>
      <c r="C25" s="195">
        <v>2</v>
      </c>
      <c r="D25" s="196" t="s">
        <v>379</v>
      </c>
      <c r="E25" s="197">
        <v>122</v>
      </c>
      <c r="F25" s="197">
        <v>267</v>
      </c>
      <c r="G25" s="198"/>
      <c r="H25" s="198"/>
      <c r="I25" s="198">
        <v>72.741200000000006</v>
      </c>
      <c r="J25" s="198">
        <v>72.741</v>
      </c>
      <c r="K25" s="199"/>
      <c r="L25" s="199"/>
      <c r="M25" s="199">
        <f t="shared" si="5"/>
        <v>-2.0000000000663931E-4</v>
      </c>
      <c r="N25" s="199"/>
      <c r="O25" s="199"/>
      <c r="P25" s="199"/>
      <c r="Q25" s="199"/>
      <c r="R25" s="199"/>
      <c r="S25" s="199"/>
    </row>
    <row r="26" spans="1:19" ht="17.25" customHeight="1" x14ac:dyDescent="0.2">
      <c r="A26" s="201"/>
      <c r="B26" s="127">
        <v>1</v>
      </c>
      <c r="C26" s="195">
        <v>2</v>
      </c>
      <c r="D26" s="196" t="s">
        <v>379</v>
      </c>
      <c r="E26" s="197">
        <v>129</v>
      </c>
      <c r="F26" s="197">
        <v>213</v>
      </c>
      <c r="G26" s="198"/>
      <c r="H26" s="198"/>
      <c r="I26" s="198">
        <v>754.98991000000001</v>
      </c>
      <c r="J26" s="198">
        <v>749.86919999999998</v>
      </c>
      <c r="K26" s="199"/>
      <c r="L26" s="199"/>
      <c r="M26" s="199">
        <f t="shared" si="5"/>
        <v>-5.120710000000031</v>
      </c>
      <c r="N26" s="199"/>
      <c r="O26" s="199"/>
      <c r="P26" s="199"/>
      <c r="Q26" s="199"/>
      <c r="R26" s="199"/>
      <c r="S26" s="199"/>
    </row>
    <row r="27" spans="1:19" s="188" customFormat="1" ht="33" customHeight="1" x14ac:dyDescent="0.25">
      <c r="A27" s="189" t="s">
        <v>306</v>
      </c>
      <c r="B27" s="190">
        <v>1</v>
      </c>
      <c r="C27" s="191">
        <v>4</v>
      </c>
      <c r="D27" s="193"/>
      <c r="E27" s="193"/>
      <c r="F27" s="193"/>
      <c r="G27" s="194">
        <f t="shared" ref="G27:J28" si="14">G28</f>
        <v>22619.7</v>
      </c>
      <c r="H27" s="194">
        <f t="shared" si="14"/>
        <v>26213.476999999999</v>
      </c>
      <c r="I27" s="194">
        <f t="shared" si="14"/>
        <v>26213.477290000003</v>
      </c>
      <c r="J27" s="194">
        <f t="shared" si="14"/>
        <v>25963.047380000004</v>
      </c>
      <c r="K27" s="187">
        <f t="shared" si="3"/>
        <v>2.9000000358792022E-4</v>
      </c>
      <c r="L27" s="187">
        <f t="shared" si="4"/>
        <v>100.00000110630118</v>
      </c>
      <c r="M27" s="187">
        <f t="shared" si="5"/>
        <v>-250.42990999999893</v>
      </c>
      <c r="N27" s="187">
        <f t="shared" si="6"/>
        <v>99.04465208018955</v>
      </c>
      <c r="O27" s="187">
        <f t="shared" si="7"/>
        <v>114.78068842646015</v>
      </c>
      <c r="P27" s="187">
        <f t="shared" si="8"/>
        <v>99.044653175921709</v>
      </c>
      <c r="Q27" s="187">
        <f t="shared" si="9"/>
        <v>3593.7769999999982</v>
      </c>
      <c r="R27" s="187">
        <f t="shared" si="10"/>
        <v>115.88781902500918</v>
      </c>
      <c r="S27" s="187">
        <f t="shared" ref="S27:S32" si="15">J27/$J$355*100</f>
        <v>19.2289508611244</v>
      </c>
    </row>
    <row r="28" spans="1:19" ht="22.5" customHeight="1" x14ac:dyDescent="0.2">
      <c r="A28" s="126" t="s">
        <v>370</v>
      </c>
      <c r="B28" s="127">
        <v>1</v>
      </c>
      <c r="C28" s="195">
        <v>4</v>
      </c>
      <c r="D28" s="196" t="s">
        <v>371</v>
      </c>
      <c r="E28" s="197"/>
      <c r="F28" s="197"/>
      <c r="G28" s="198">
        <f t="shared" si="14"/>
        <v>22619.7</v>
      </c>
      <c r="H28" s="198">
        <f t="shared" si="14"/>
        <v>26213.476999999999</v>
      </c>
      <c r="I28" s="198">
        <f t="shared" si="14"/>
        <v>26213.477290000003</v>
      </c>
      <c r="J28" s="198">
        <f t="shared" si="14"/>
        <v>25963.047380000004</v>
      </c>
      <c r="K28" s="199">
        <f t="shared" si="3"/>
        <v>2.9000000358792022E-4</v>
      </c>
      <c r="L28" s="199">
        <f t="shared" si="4"/>
        <v>100.00000110630118</v>
      </c>
      <c r="M28" s="199">
        <f t="shared" si="5"/>
        <v>-250.42990999999893</v>
      </c>
      <c r="N28" s="199">
        <f t="shared" si="6"/>
        <v>99.04465208018955</v>
      </c>
      <c r="O28" s="199">
        <f t="shared" si="7"/>
        <v>114.78068842646015</v>
      </c>
      <c r="P28" s="199">
        <f t="shared" si="8"/>
        <v>99.044653175921709</v>
      </c>
      <c r="Q28" s="199">
        <f t="shared" si="9"/>
        <v>3593.7769999999982</v>
      </c>
      <c r="R28" s="199">
        <f t="shared" si="10"/>
        <v>115.88781902500918</v>
      </c>
      <c r="S28" s="199">
        <f t="shared" si="15"/>
        <v>19.2289508611244</v>
      </c>
    </row>
    <row r="29" spans="1:19" ht="36.75" customHeight="1" x14ac:dyDescent="0.2">
      <c r="A29" s="202" t="s">
        <v>372</v>
      </c>
      <c r="B29" s="127">
        <v>1</v>
      </c>
      <c r="C29" s="195">
        <v>4</v>
      </c>
      <c r="D29" s="196" t="s">
        <v>373</v>
      </c>
      <c r="E29" s="203"/>
      <c r="F29" s="203"/>
      <c r="G29" s="198">
        <f t="shared" ref="G29" si="16">G31</f>
        <v>22619.7</v>
      </c>
      <c r="H29" s="198">
        <f>H31</f>
        <v>26213.476999999999</v>
      </c>
      <c r="I29" s="198">
        <f t="shared" ref="I29:J29" si="17">I31</f>
        <v>26213.477290000003</v>
      </c>
      <c r="J29" s="198">
        <f t="shared" si="17"/>
        <v>25963.047380000004</v>
      </c>
      <c r="K29" s="199">
        <f t="shared" si="3"/>
        <v>2.9000000358792022E-4</v>
      </c>
      <c r="L29" s="199">
        <f t="shared" si="4"/>
        <v>100.00000110630118</v>
      </c>
      <c r="M29" s="199">
        <f t="shared" si="5"/>
        <v>-250.42990999999893</v>
      </c>
      <c r="N29" s="199">
        <f t="shared" si="6"/>
        <v>99.04465208018955</v>
      </c>
      <c r="O29" s="199">
        <f t="shared" si="7"/>
        <v>114.78068842646015</v>
      </c>
      <c r="P29" s="199">
        <f t="shared" si="8"/>
        <v>99.044653175921709</v>
      </c>
      <c r="Q29" s="199">
        <f t="shared" si="9"/>
        <v>3593.7769999999982</v>
      </c>
      <c r="R29" s="199">
        <f t="shared" si="10"/>
        <v>115.88781902500918</v>
      </c>
      <c r="S29" s="199">
        <f t="shared" si="15"/>
        <v>19.2289508611244</v>
      </c>
    </row>
    <row r="30" spans="1:19" ht="26.25" customHeight="1" x14ac:dyDescent="0.2">
      <c r="A30" s="126" t="s">
        <v>380</v>
      </c>
      <c r="B30" s="127">
        <v>1</v>
      </c>
      <c r="C30" s="195">
        <v>4</v>
      </c>
      <c r="D30" s="196" t="s">
        <v>381</v>
      </c>
      <c r="E30" s="203"/>
      <c r="F30" s="203"/>
      <c r="G30" s="198">
        <f t="shared" ref="G30:J31" si="18">G31</f>
        <v>22619.7</v>
      </c>
      <c r="H30" s="198">
        <f t="shared" si="18"/>
        <v>26213.476999999999</v>
      </c>
      <c r="I30" s="198">
        <f t="shared" si="18"/>
        <v>26213.477290000003</v>
      </c>
      <c r="J30" s="198">
        <f t="shared" si="18"/>
        <v>25963.047380000004</v>
      </c>
      <c r="K30" s="199">
        <f t="shared" si="3"/>
        <v>2.9000000358792022E-4</v>
      </c>
      <c r="L30" s="199">
        <f t="shared" si="4"/>
        <v>100.00000110630118</v>
      </c>
      <c r="M30" s="199">
        <f t="shared" si="5"/>
        <v>-250.42990999999893</v>
      </c>
      <c r="N30" s="199">
        <f t="shared" si="6"/>
        <v>99.04465208018955</v>
      </c>
      <c r="O30" s="199">
        <f t="shared" si="7"/>
        <v>114.78068842646015</v>
      </c>
      <c r="P30" s="199">
        <f t="shared" si="8"/>
        <v>99.044653175921709</v>
      </c>
      <c r="Q30" s="199">
        <f t="shared" si="9"/>
        <v>3593.7769999999982</v>
      </c>
      <c r="R30" s="199">
        <f t="shared" si="10"/>
        <v>115.88781902500918</v>
      </c>
      <c r="S30" s="199">
        <f t="shared" si="15"/>
        <v>19.2289508611244</v>
      </c>
    </row>
    <row r="31" spans="1:19" s="204" customFormat="1" ht="46.5" customHeight="1" x14ac:dyDescent="0.3">
      <c r="A31" s="200" t="s">
        <v>376</v>
      </c>
      <c r="B31" s="127">
        <v>1</v>
      </c>
      <c r="C31" s="195">
        <v>4</v>
      </c>
      <c r="D31" s="196" t="s">
        <v>381</v>
      </c>
      <c r="E31" s="197">
        <v>100</v>
      </c>
      <c r="F31" s="197"/>
      <c r="G31" s="198">
        <f t="shared" si="18"/>
        <v>22619.7</v>
      </c>
      <c r="H31" s="198">
        <f t="shared" si="18"/>
        <v>26213.476999999999</v>
      </c>
      <c r="I31" s="198">
        <f t="shared" si="18"/>
        <v>26213.477290000003</v>
      </c>
      <c r="J31" s="198">
        <f t="shared" si="18"/>
        <v>25963.047380000004</v>
      </c>
      <c r="K31" s="199">
        <f t="shared" si="3"/>
        <v>2.9000000358792022E-4</v>
      </c>
      <c r="L31" s="199">
        <f t="shared" si="4"/>
        <v>100.00000110630118</v>
      </c>
      <c r="M31" s="199">
        <f t="shared" si="5"/>
        <v>-250.42990999999893</v>
      </c>
      <c r="N31" s="199">
        <f t="shared" si="6"/>
        <v>99.04465208018955</v>
      </c>
      <c r="O31" s="199">
        <f t="shared" si="7"/>
        <v>114.78068842646015</v>
      </c>
      <c r="P31" s="199">
        <f t="shared" si="8"/>
        <v>99.044653175921709</v>
      </c>
      <c r="Q31" s="199">
        <f t="shared" si="9"/>
        <v>3593.7769999999982</v>
      </c>
      <c r="R31" s="199">
        <f t="shared" si="10"/>
        <v>115.88781902500918</v>
      </c>
      <c r="S31" s="199">
        <f t="shared" si="15"/>
        <v>19.2289508611244</v>
      </c>
    </row>
    <row r="32" spans="1:19" s="204" customFormat="1" ht="32.25" customHeight="1" x14ac:dyDescent="0.3">
      <c r="A32" s="201" t="s">
        <v>377</v>
      </c>
      <c r="B32" s="127">
        <v>1</v>
      </c>
      <c r="C32" s="195">
        <v>4</v>
      </c>
      <c r="D32" s="196" t="s">
        <v>381</v>
      </c>
      <c r="E32" s="197">
        <v>120</v>
      </c>
      <c r="F32" s="197"/>
      <c r="G32" s="198">
        <v>22619.7</v>
      </c>
      <c r="H32" s="198">
        <f>'[4]приложение №3 (5) 2022г.'!G34</f>
        <v>26213.476999999999</v>
      </c>
      <c r="I32" s="198">
        <f>SUM(I33:I40)</f>
        <v>26213.477290000003</v>
      </c>
      <c r="J32" s="198">
        <f>SUM(J33:J40)</f>
        <v>25963.047380000004</v>
      </c>
      <c r="K32" s="199">
        <f t="shared" si="3"/>
        <v>2.9000000358792022E-4</v>
      </c>
      <c r="L32" s="199">
        <f t="shared" si="4"/>
        <v>100.00000110630118</v>
      </c>
      <c r="M32" s="199">
        <f t="shared" si="5"/>
        <v>-250.42990999999893</v>
      </c>
      <c r="N32" s="199">
        <f t="shared" si="6"/>
        <v>99.04465208018955</v>
      </c>
      <c r="O32" s="199">
        <f t="shared" si="7"/>
        <v>114.78068842646015</v>
      </c>
      <c r="P32" s="199">
        <f t="shared" si="8"/>
        <v>99.044653175921709</v>
      </c>
      <c r="Q32" s="199">
        <f t="shared" si="9"/>
        <v>3593.7769999999982</v>
      </c>
      <c r="R32" s="199">
        <f t="shared" si="10"/>
        <v>115.88781902500918</v>
      </c>
      <c r="S32" s="199">
        <f t="shared" si="15"/>
        <v>19.2289508611244</v>
      </c>
    </row>
    <row r="33" spans="1:19" s="204" customFormat="1" ht="18" customHeight="1" x14ac:dyDescent="0.3">
      <c r="A33" s="201"/>
      <c r="B33" s="127">
        <v>1</v>
      </c>
      <c r="C33" s="195">
        <v>4</v>
      </c>
      <c r="D33" s="196" t="s">
        <v>381</v>
      </c>
      <c r="E33" s="197">
        <v>121</v>
      </c>
      <c r="F33" s="197">
        <v>211</v>
      </c>
      <c r="G33" s="198"/>
      <c r="H33" s="198"/>
      <c r="I33" s="198">
        <v>19512.71933</v>
      </c>
      <c r="J33" s="198">
        <v>19511.001</v>
      </c>
      <c r="K33" s="199"/>
      <c r="L33" s="199"/>
      <c r="M33" s="199">
        <f t="shared" si="5"/>
        <v>-1.7183299999996962</v>
      </c>
      <c r="N33" s="199"/>
      <c r="O33" s="199"/>
      <c r="P33" s="199"/>
      <c r="Q33" s="199"/>
      <c r="R33" s="199"/>
      <c r="S33" s="199"/>
    </row>
    <row r="34" spans="1:19" s="204" customFormat="1" ht="18" customHeight="1" x14ac:dyDescent="0.3">
      <c r="A34" s="201"/>
      <c r="B34" s="127">
        <v>1</v>
      </c>
      <c r="C34" s="195">
        <v>4</v>
      </c>
      <c r="D34" s="196" t="s">
        <v>381</v>
      </c>
      <c r="E34" s="197">
        <v>121</v>
      </c>
      <c r="F34" s="197">
        <v>266</v>
      </c>
      <c r="G34" s="198"/>
      <c r="H34" s="198"/>
      <c r="I34" s="198">
        <v>141.70648</v>
      </c>
      <c r="J34" s="198">
        <v>141.12018</v>
      </c>
      <c r="K34" s="199"/>
      <c r="L34" s="199"/>
      <c r="M34" s="199">
        <f t="shared" si="5"/>
        <v>-0.58629999999999427</v>
      </c>
      <c r="N34" s="199"/>
      <c r="O34" s="199"/>
      <c r="P34" s="199"/>
      <c r="Q34" s="199"/>
      <c r="R34" s="199"/>
      <c r="S34" s="199"/>
    </row>
    <row r="35" spans="1:19" s="204" customFormat="1" ht="18" customHeight="1" x14ac:dyDescent="0.3">
      <c r="A35" s="201"/>
      <c r="B35" s="127">
        <v>1</v>
      </c>
      <c r="C35" s="195">
        <v>4</v>
      </c>
      <c r="D35" s="196" t="s">
        <v>381</v>
      </c>
      <c r="E35" s="197">
        <v>122</v>
      </c>
      <c r="F35" s="197">
        <v>212</v>
      </c>
      <c r="G35" s="198"/>
      <c r="H35" s="198"/>
      <c r="I35" s="198">
        <v>1.8</v>
      </c>
      <c r="J35" s="198">
        <v>1.8</v>
      </c>
      <c r="K35" s="199"/>
      <c r="L35" s="199"/>
      <c r="M35" s="199">
        <f t="shared" si="5"/>
        <v>0</v>
      </c>
      <c r="N35" s="199"/>
      <c r="O35" s="199"/>
      <c r="P35" s="199"/>
      <c r="Q35" s="199"/>
      <c r="R35" s="199"/>
      <c r="S35" s="199"/>
    </row>
    <row r="36" spans="1:19" s="204" customFormat="1" ht="19.5" customHeight="1" x14ac:dyDescent="0.3">
      <c r="A36" s="201"/>
      <c r="B36" s="127">
        <v>1</v>
      </c>
      <c r="C36" s="195">
        <v>4</v>
      </c>
      <c r="D36" s="196" t="s">
        <v>381</v>
      </c>
      <c r="E36" s="197">
        <v>122</v>
      </c>
      <c r="F36" s="197">
        <v>214</v>
      </c>
      <c r="G36" s="198"/>
      <c r="H36" s="198"/>
      <c r="I36" s="198">
        <v>297.38073000000003</v>
      </c>
      <c r="J36" s="198">
        <v>297.38073000000003</v>
      </c>
      <c r="K36" s="199"/>
      <c r="L36" s="199"/>
      <c r="M36" s="199">
        <f t="shared" si="5"/>
        <v>0</v>
      </c>
      <c r="N36" s="199"/>
      <c r="O36" s="199"/>
      <c r="P36" s="199"/>
      <c r="Q36" s="199"/>
      <c r="R36" s="199"/>
      <c r="S36" s="199"/>
    </row>
    <row r="37" spans="1:19" s="204" customFormat="1" ht="16.5" customHeight="1" x14ac:dyDescent="0.3">
      <c r="A37" s="201"/>
      <c r="B37" s="127">
        <v>1</v>
      </c>
      <c r="C37" s="195">
        <v>4</v>
      </c>
      <c r="D37" s="196" t="s">
        <v>381</v>
      </c>
      <c r="E37" s="197">
        <v>122</v>
      </c>
      <c r="F37" s="197">
        <v>226</v>
      </c>
      <c r="G37" s="198"/>
      <c r="H37" s="198"/>
      <c r="I37" s="198">
        <v>20.178999999999998</v>
      </c>
      <c r="J37" s="198">
        <v>20.178999999999998</v>
      </c>
      <c r="K37" s="199"/>
      <c r="L37" s="199"/>
      <c r="M37" s="199">
        <f t="shared" si="5"/>
        <v>0</v>
      </c>
      <c r="N37" s="199"/>
      <c r="O37" s="199"/>
      <c r="P37" s="199"/>
      <c r="Q37" s="199"/>
      <c r="R37" s="199"/>
      <c r="S37" s="199"/>
    </row>
    <row r="38" spans="1:19" s="204" customFormat="1" ht="18.75" customHeight="1" x14ac:dyDescent="0.3">
      <c r="A38" s="201"/>
      <c r="B38" s="127">
        <v>1</v>
      </c>
      <c r="C38" s="195">
        <v>4</v>
      </c>
      <c r="D38" s="196" t="s">
        <v>381</v>
      </c>
      <c r="E38" s="197">
        <v>122</v>
      </c>
      <c r="F38" s="197">
        <v>267</v>
      </c>
      <c r="G38" s="198"/>
      <c r="H38" s="198"/>
      <c r="I38" s="198">
        <v>341.46483999999998</v>
      </c>
      <c r="J38" s="198">
        <v>341.46483999999998</v>
      </c>
      <c r="K38" s="199"/>
      <c r="L38" s="199"/>
      <c r="M38" s="199">
        <f t="shared" si="5"/>
        <v>0</v>
      </c>
      <c r="N38" s="199"/>
      <c r="O38" s="199"/>
      <c r="P38" s="199"/>
      <c r="Q38" s="199"/>
      <c r="R38" s="199"/>
      <c r="S38" s="199"/>
    </row>
    <row r="39" spans="1:19" s="204" customFormat="1" ht="18" customHeight="1" x14ac:dyDescent="0.3">
      <c r="A39" s="201"/>
      <c r="B39" s="127">
        <v>1</v>
      </c>
      <c r="C39" s="195">
        <v>4</v>
      </c>
      <c r="D39" s="196" t="s">
        <v>381</v>
      </c>
      <c r="E39" s="197">
        <v>129</v>
      </c>
      <c r="F39" s="197">
        <v>213</v>
      </c>
      <c r="G39" s="198"/>
      <c r="H39" s="198"/>
      <c r="I39" s="198">
        <v>5870.0870000000004</v>
      </c>
      <c r="J39" s="198">
        <v>5621.99251</v>
      </c>
      <c r="K39" s="199"/>
      <c r="L39" s="199"/>
      <c r="M39" s="199">
        <f t="shared" si="5"/>
        <v>-248.09449000000041</v>
      </c>
      <c r="N39" s="199"/>
      <c r="O39" s="199"/>
      <c r="P39" s="199"/>
      <c r="Q39" s="199"/>
      <c r="R39" s="199"/>
      <c r="S39" s="199"/>
    </row>
    <row r="40" spans="1:19" s="204" customFormat="1" ht="20.25" customHeight="1" x14ac:dyDescent="0.3">
      <c r="A40" s="201"/>
      <c r="B40" s="127">
        <v>1</v>
      </c>
      <c r="C40" s="195">
        <v>4</v>
      </c>
      <c r="D40" s="196" t="s">
        <v>381</v>
      </c>
      <c r="E40" s="197">
        <v>129</v>
      </c>
      <c r="F40" s="197">
        <v>266</v>
      </c>
      <c r="G40" s="198"/>
      <c r="H40" s="198"/>
      <c r="I40" s="198">
        <v>28.13991</v>
      </c>
      <c r="J40" s="198">
        <v>28.109120000000001</v>
      </c>
      <c r="K40" s="199"/>
      <c r="L40" s="199"/>
      <c r="M40" s="199">
        <f t="shared" si="5"/>
        <v>-3.0789999999999651E-2</v>
      </c>
      <c r="N40" s="199"/>
      <c r="O40" s="199"/>
      <c r="P40" s="199"/>
      <c r="Q40" s="199"/>
      <c r="R40" s="199"/>
      <c r="S40" s="199"/>
    </row>
    <row r="41" spans="1:19" s="188" customFormat="1" ht="18.75" customHeight="1" x14ac:dyDescent="0.25">
      <c r="A41" s="189" t="s">
        <v>382</v>
      </c>
      <c r="B41" s="190">
        <v>1</v>
      </c>
      <c r="C41" s="191">
        <v>11</v>
      </c>
      <c r="D41" s="192"/>
      <c r="E41" s="193"/>
      <c r="F41" s="193"/>
      <c r="G41" s="194">
        <f t="shared" ref="G41:J45" si="19">G42</f>
        <v>177</v>
      </c>
      <c r="H41" s="194">
        <f>H42</f>
        <v>0</v>
      </c>
      <c r="I41" s="194">
        <f t="shared" si="19"/>
        <v>0</v>
      </c>
      <c r="J41" s="194">
        <f t="shared" si="19"/>
        <v>0</v>
      </c>
      <c r="K41" s="187">
        <f t="shared" si="3"/>
        <v>0</v>
      </c>
      <c r="L41" s="187"/>
      <c r="M41" s="187">
        <f t="shared" si="5"/>
        <v>0</v>
      </c>
      <c r="N41" s="187"/>
      <c r="O41" s="187">
        <f t="shared" si="7"/>
        <v>0</v>
      </c>
      <c r="P41" s="187"/>
      <c r="Q41" s="187">
        <f t="shared" si="9"/>
        <v>-177</v>
      </c>
      <c r="R41" s="187">
        <f t="shared" si="10"/>
        <v>0</v>
      </c>
      <c r="S41" s="187">
        <f t="shared" ref="S41:S52" si="20">J41/$J$355*100</f>
        <v>0</v>
      </c>
    </row>
    <row r="42" spans="1:19" ht="18.75" customHeight="1" x14ac:dyDescent="0.2">
      <c r="A42" s="126" t="s">
        <v>370</v>
      </c>
      <c r="B42" s="127">
        <v>1</v>
      </c>
      <c r="C42" s="195">
        <v>11</v>
      </c>
      <c r="D42" s="196" t="s">
        <v>371</v>
      </c>
      <c r="E42" s="197"/>
      <c r="F42" s="197"/>
      <c r="G42" s="198">
        <f t="shared" si="19"/>
        <v>177</v>
      </c>
      <c r="H42" s="198">
        <f>H43</f>
        <v>0</v>
      </c>
      <c r="I42" s="198">
        <f t="shared" si="19"/>
        <v>0</v>
      </c>
      <c r="J42" s="198">
        <f t="shared" si="19"/>
        <v>0</v>
      </c>
      <c r="K42" s="199">
        <f t="shared" si="3"/>
        <v>0</v>
      </c>
      <c r="L42" s="199"/>
      <c r="M42" s="199">
        <f t="shared" si="5"/>
        <v>0</v>
      </c>
      <c r="N42" s="199"/>
      <c r="O42" s="199">
        <f t="shared" si="7"/>
        <v>0</v>
      </c>
      <c r="P42" s="199"/>
      <c r="Q42" s="199">
        <f t="shared" si="9"/>
        <v>-177</v>
      </c>
      <c r="R42" s="199">
        <f t="shared" si="10"/>
        <v>0</v>
      </c>
      <c r="S42" s="199">
        <f t="shared" si="20"/>
        <v>0</v>
      </c>
    </row>
    <row r="43" spans="1:19" ht="15.75" customHeight="1" x14ac:dyDescent="0.2">
      <c r="A43" s="126" t="s">
        <v>312</v>
      </c>
      <c r="B43" s="127">
        <v>1</v>
      </c>
      <c r="C43" s="195">
        <v>11</v>
      </c>
      <c r="D43" s="196" t="s">
        <v>383</v>
      </c>
      <c r="E43" s="197"/>
      <c r="F43" s="197"/>
      <c r="G43" s="198">
        <f t="shared" si="19"/>
        <v>177</v>
      </c>
      <c r="H43" s="198">
        <f>H44</f>
        <v>0</v>
      </c>
      <c r="I43" s="198">
        <f t="shared" si="19"/>
        <v>0</v>
      </c>
      <c r="J43" s="198">
        <f t="shared" si="19"/>
        <v>0</v>
      </c>
      <c r="K43" s="199">
        <f t="shared" si="3"/>
        <v>0</v>
      </c>
      <c r="L43" s="199"/>
      <c r="M43" s="199">
        <f t="shared" si="5"/>
        <v>0</v>
      </c>
      <c r="N43" s="199"/>
      <c r="O43" s="199">
        <f t="shared" si="7"/>
        <v>0</v>
      </c>
      <c r="P43" s="199"/>
      <c r="Q43" s="199">
        <f t="shared" si="9"/>
        <v>-177</v>
      </c>
      <c r="R43" s="199">
        <f t="shared" si="10"/>
        <v>0</v>
      </c>
      <c r="S43" s="199">
        <f t="shared" si="20"/>
        <v>0</v>
      </c>
    </row>
    <row r="44" spans="1:19" ht="27.75" customHeight="1" x14ac:dyDescent="0.2">
      <c r="A44" s="126" t="s">
        <v>384</v>
      </c>
      <c r="B44" s="127">
        <v>1</v>
      </c>
      <c r="C44" s="195">
        <v>11</v>
      </c>
      <c r="D44" s="196" t="s">
        <v>385</v>
      </c>
      <c r="E44" s="197"/>
      <c r="F44" s="197"/>
      <c r="G44" s="198">
        <f t="shared" si="19"/>
        <v>177</v>
      </c>
      <c r="H44" s="198">
        <f>H45</f>
        <v>0</v>
      </c>
      <c r="I44" s="198">
        <f t="shared" si="19"/>
        <v>0</v>
      </c>
      <c r="J44" s="198">
        <f t="shared" si="19"/>
        <v>0</v>
      </c>
      <c r="K44" s="199">
        <f t="shared" si="3"/>
        <v>0</v>
      </c>
      <c r="L44" s="199"/>
      <c r="M44" s="199">
        <f t="shared" si="5"/>
        <v>0</v>
      </c>
      <c r="N44" s="199"/>
      <c r="O44" s="199">
        <f t="shared" si="7"/>
        <v>0</v>
      </c>
      <c r="P44" s="199"/>
      <c r="Q44" s="199">
        <f t="shared" si="9"/>
        <v>-177</v>
      </c>
      <c r="R44" s="199">
        <f t="shared" si="10"/>
        <v>0</v>
      </c>
      <c r="S44" s="199">
        <f t="shared" si="20"/>
        <v>0</v>
      </c>
    </row>
    <row r="45" spans="1:19" ht="18.75" customHeight="1" x14ac:dyDescent="0.2">
      <c r="A45" s="126" t="s">
        <v>386</v>
      </c>
      <c r="B45" s="127">
        <v>1</v>
      </c>
      <c r="C45" s="195">
        <v>11</v>
      </c>
      <c r="D45" s="196" t="s">
        <v>385</v>
      </c>
      <c r="E45" s="197">
        <v>800</v>
      </c>
      <c r="F45" s="197"/>
      <c r="G45" s="198">
        <f t="shared" si="19"/>
        <v>177</v>
      </c>
      <c r="H45" s="198">
        <f>H46</f>
        <v>0</v>
      </c>
      <c r="I45" s="198">
        <f>I46</f>
        <v>0</v>
      </c>
      <c r="J45" s="198">
        <f t="shared" si="19"/>
        <v>0</v>
      </c>
      <c r="K45" s="199">
        <f t="shared" si="3"/>
        <v>0</v>
      </c>
      <c r="L45" s="199"/>
      <c r="M45" s="199">
        <f t="shared" si="5"/>
        <v>0</v>
      </c>
      <c r="N45" s="199"/>
      <c r="O45" s="199">
        <f t="shared" si="7"/>
        <v>0</v>
      </c>
      <c r="P45" s="199"/>
      <c r="Q45" s="199">
        <f t="shared" si="9"/>
        <v>-177</v>
      </c>
      <c r="R45" s="199">
        <f t="shared" si="10"/>
        <v>0</v>
      </c>
      <c r="S45" s="199">
        <f t="shared" si="20"/>
        <v>0</v>
      </c>
    </row>
    <row r="46" spans="1:19" ht="17.25" customHeight="1" x14ac:dyDescent="0.2">
      <c r="A46" s="126" t="s">
        <v>387</v>
      </c>
      <c r="B46" s="127">
        <v>1</v>
      </c>
      <c r="C46" s="195">
        <v>11</v>
      </c>
      <c r="D46" s="196" t="s">
        <v>385</v>
      </c>
      <c r="E46" s="197">
        <v>870</v>
      </c>
      <c r="F46" s="197"/>
      <c r="G46" s="198">
        <v>177</v>
      </c>
      <c r="H46" s="198">
        <f>'[4]приложение №3 (5) 2022г.'!G40</f>
        <v>0</v>
      </c>
      <c r="I46" s="198"/>
      <c r="J46" s="198"/>
      <c r="K46" s="199">
        <f t="shared" si="3"/>
        <v>0</v>
      </c>
      <c r="L46" s="199"/>
      <c r="M46" s="199">
        <f t="shared" si="5"/>
        <v>0</v>
      </c>
      <c r="N46" s="199"/>
      <c r="O46" s="199">
        <f t="shared" si="7"/>
        <v>0</v>
      </c>
      <c r="P46" s="199"/>
      <c r="Q46" s="199">
        <f t="shared" si="9"/>
        <v>-177</v>
      </c>
      <c r="R46" s="199">
        <f t="shared" si="10"/>
        <v>0</v>
      </c>
      <c r="S46" s="199">
        <f t="shared" si="20"/>
        <v>0</v>
      </c>
    </row>
    <row r="47" spans="1:19" s="188" customFormat="1" ht="21.75" customHeight="1" x14ac:dyDescent="0.25">
      <c r="A47" s="189" t="s">
        <v>314</v>
      </c>
      <c r="B47" s="190">
        <v>1</v>
      </c>
      <c r="C47" s="191">
        <v>13</v>
      </c>
      <c r="D47" s="193"/>
      <c r="E47" s="193"/>
      <c r="F47" s="193"/>
      <c r="G47" s="194">
        <f t="shared" ref="G47:J47" si="21">G48+G55+G82</f>
        <v>2954.4</v>
      </c>
      <c r="H47" s="194">
        <f>H48+H55+H82</f>
        <v>4460.2</v>
      </c>
      <c r="I47" s="194">
        <f t="shared" si="21"/>
        <v>4460.1664700000001</v>
      </c>
      <c r="J47" s="194">
        <f t="shared" si="21"/>
        <v>4092.3426400000003</v>
      </c>
      <c r="K47" s="187">
        <f t="shared" si="3"/>
        <v>-3.3529999999700522E-2</v>
      </c>
      <c r="L47" s="187">
        <f t="shared" si="4"/>
        <v>99.999248239989242</v>
      </c>
      <c r="M47" s="187">
        <f t="shared" si="5"/>
        <v>-367.82382999999982</v>
      </c>
      <c r="N47" s="187">
        <f t="shared" si="6"/>
        <v>91.75313673886258</v>
      </c>
      <c r="O47" s="187">
        <f t="shared" si="7"/>
        <v>138.51687787706473</v>
      </c>
      <c r="P47" s="187">
        <f t="shared" si="8"/>
        <v>91.752446975471955</v>
      </c>
      <c r="Q47" s="187">
        <f t="shared" si="9"/>
        <v>1505.7999999999997</v>
      </c>
      <c r="R47" s="187">
        <f t="shared" si="10"/>
        <v>150.96804765773084</v>
      </c>
      <c r="S47" s="187">
        <f t="shared" si="20"/>
        <v>3.0309021271540773</v>
      </c>
    </row>
    <row r="48" spans="1:19" ht="50.25" customHeight="1" x14ac:dyDescent="0.2">
      <c r="A48" s="126" t="s">
        <v>388</v>
      </c>
      <c r="B48" s="127">
        <v>1</v>
      </c>
      <c r="C48" s="195">
        <v>13</v>
      </c>
      <c r="D48" s="197" t="s">
        <v>389</v>
      </c>
      <c r="E48" s="197"/>
      <c r="F48" s="197"/>
      <c r="G48" s="198">
        <f t="shared" ref="G48:J51" si="22">G49</f>
        <v>150</v>
      </c>
      <c r="H48" s="198">
        <f>H49</f>
        <v>182.67500000000001</v>
      </c>
      <c r="I48" s="198">
        <f t="shared" si="22"/>
        <v>182.67500000000001</v>
      </c>
      <c r="J48" s="198">
        <f t="shared" si="22"/>
        <v>182.67500000000001</v>
      </c>
      <c r="K48" s="199">
        <f t="shared" si="3"/>
        <v>0</v>
      </c>
      <c r="L48" s="199">
        <f t="shared" si="4"/>
        <v>100</v>
      </c>
      <c r="M48" s="199">
        <f t="shared" si="5"/>
        <v>0</v>
      </c>
      <c r="N48" s="199">
        <f t="shared" si="6"/>
        <v>100</v>
      </c>
      <c r="O48" s="199">
        <f t="shared" si="7"/>
        <v>121.78333333333333</v>
      </c>
      <c r="P48" s="199">
        <f t="shared" si="8"/>
        <v>100</v>
      </c>
      <c r="Q48" s="199">
        <f t="shared" si="9"/>
        <v>32.675000000000011</v>
      </c>
      <c r="R48" s="199">
        <f t="shared" si="10"/>
        <v>121.78333333333333</v>
      </c>
      <c r="S48" s="199">
        <f t="shared" si="20"/>
        <v>0.1352941566197573</v>
      </c>
    </row>
    <row r="49" spans="1:19" s="204" customFormat="1" ht="49.5" customHeight="1" x14ac:dyDescent="0.3">
      <c r="A49" s="126" t="s">
        <v>390</v>
      </c>
      <c r="B49" s="127">
        <v>1</v>
      </c>
      <c r="C49" s="195">
        <v>13</v>
      </c>
      <c r="D49" s="197" t="s">
        <v>391</v>
      </c>
      <c r="E49" s="197"/>
      <c r="F49" s="197"/>
      <c r="G49" s="198">
        <f t="shared" si="22"/>
        <v>150</v>
      </c>
      <c r="H49" s="198">
        <f>H50</f>
        <v>182.67500000000001</v>
      </c>
      <c r="I49" s="198">
        <f t="shared" si="22"/>
        <v>182.67500000000001</v>
      </c>
      <c r="J49" s="198">
        <f t="shared" si="22"/>
        <v>182.67500000000001</v>
      </c>
      <c r="K49" s="199">
        <f t="shared" si="3"/>
        <v>0</v>
      </c>
      <c r="L49" s="199">
        <f t="shared" si="4"/>
        <v>100</v>
      </c>
      <c r="M49" s="199">
        <f t="shared" si="5"/>
        <v>0</v>
      </c>
      <c r="N49" s="199">
        <f t="shared" si="6"/>
        <v>100</v>
      </c>
      <c r="O49" s="199">
        <f t="shared" si="7"/>
        <v>121.78333333333333</v>
      </c>
      <c r="P49" s="199">
        <f t="shared" si="8"/>
        <v>100</v>
      </c>
      <c r="Q49" s="199">
        <f t="shared" si="9"/>
        <v>32.675000000000011</v>
      </c>
      <c r="R49" s="199">
        <f t="shared" si="10"/>
        <v>121.78333333333333</v>
      </c>
      <c r="S49" s="199">
        <f t="shared" si="20"/>
        <v>0.1352941566197573</v>
      </c>
    </row>
    <row r="50" spans="1:19" s="204" customFormat="1" ht="18.75" customHeight="1" x14ac:dyDescent="0.3">
      <c r="A50" s="126" t="s">
        <v>392</v>
      </c>
      <c r="B50" s="127">
        <v>1</v>
      </c>
      <c r="C50" s="195">
        <v>13</v>
      </c>
      <c r="D50" s="197" t="s">
        <v>393</v>
      </c>
      <c r="E50" s="197"/>
      <c r="F50" s="197"/>
      <c r="G50" s="198">
        <f t="shared" si="22"/>
        <v>150</v>
      </c>
      <c r="H50" s="198">
        <f>H51</f>
        <v>182.67500000000001</v>
      </c>
      <c r="I50" s="198">
        <f t="shared" si="22"/>
        <v>182.67500000000001</v>
      </c>
      <c r="J50" s="198">
        <f t="shared" si="22"/>
        <v>182.67500000000001</v>
      </c>
      <c r="K50" s="199">
        <f t="shared" si="3"/>
        <v>0</v>
      </c>
      <c r="L50" s="199">
        <f t="shared" si="4"/>
        <v>100</v>
      </c>
      <c r="M50" s="199">
        <f t="shared" si="5"/>
        <v>0</v>
      </c>
      <c r="N50" s="199">
        <f t="shared" si="6"/>
        <v>100</v>
      </c>
      <c r="O50" s="199">
        <f t="shared" si="7"/>
        <v>121.78333333333333</v>
      </c>
      <c r="P50" s="199">
        <f t="shared" si="8"/>
        <v>100</v>
      </c>
      <c r="Q50" s="199">
        <f t="shared" si="9"/>
        <v>32.675000000000011</v>
      </c>
      <c r="R50" s="199">
        <f t="shared" si="10"/>
        <v>121.78333333333333</v>
      </c>
      <c r="S50" s="199">
        <f t="shared" si="20"/>
        <v>0.1352941566197573</v>
      </c>
    </row>
    <row r="51" spans="1:19" s="204" customFormat="1" ht="27" customHeight="1" x14ac:dyDescent="0.3">
      <c r="A51" s="205" t="s">
        <v>394</v>
      </c>
      <c r="B51" s="127">
        <v>1</v>
      </c>
      <c r="C51" s="195">
        <v>13</v>
      </c>
      <c r="D51" s="197" t="s">
        <v>393</v>
      </c>
      <c r="E51" s="197">
        <v>200</v>
      </c>
      <c r="F51" s="197"/>
      <c r="G51" s="198">
        <f t="shared" si="22"/>
        <v>150</v>
      </c>
      <c r="H51" s="198">
        <f>H52</f>
        <v>182.67500000000001</v>
      </c>
      <c r="I51" s="198">
        <f t="shared" si="22"/>
        <v>182.67500000000001</v>
      </c>
      <c r="J51" s="198">
        <f t="shared" si="22"/>
        <v>182.67500000000001</v>
      </c>
      <c r="K51" s="199">
        <f t="shared" si="3"/>
        <v>0</v>
      </c>
      <c r="L51" s="199">
        <f t="shared" si="4"/>
        <v>100</v>
      </c>
      <c r="M51" s="199">
        <f t="shared" si="5"/>
        <v>0</v>
      </c>
      <c r="N51" s="199">
        <f t="shared" si="6"/>
        <v>100</v>
      </c>
      <c r="O51" s="199">
        <f t="shared" si="7"/>
        <v>121.78333333333333</v>
      </c>
      <c r="P51" s="199">
        <f t="shared" si="8"/>
        <v>100</v>
      </c>
      <c r="Q51" s="199">
        <f t="shared" si="9"/>
        <v>32.675000000000011</v>
      </c>
      <c r="R51" s="199">
        <f t="shared" si="10"/>
        <v>121.78333333333333</v>
      </c>
      <c r="S51" s="199">
        <f t="shared" si="20"/>
        <v>0.1352941566197573</v>
      </c>
    </row>
    <row r="52" spans="1:19" ht="39" customHeight="1" x14ac:dyDescent="0.2">
      <c r="A52" s="201" t="s">
        <v>395</v>
      </c>
      <c r="B52" s="127">
        <v>1</v>
      </c>
      <c r="C52" s="195">
        <v>13</v>
      </c>
      <c r="D52" s="197" t="s">
        <v>393</v>
      </c>
      <c r="E52" s="197">
        <v>240</v>
      </c>
      <c r="F52" s="197"/>
      <c r="G52" s="198">
        <v>150</v>
      </c>
      <c r="H52" s="198">
        <f>'[4]приложение №3 (5) 2022г.'!G46</f>
        <v>182.67500000000001</v>
      </c>
      <c r="I52" s="198">
        <f>I53+I54</f>
        <v>182.67500000000001</v>
      </c>
      <c r="J52" s="198">
        <f>J53+J54</f>
        <v>182.67500000000001</v>
      </c>
      <c r="K52" s="199">
        <f t="shared" si="3"/>
        <v>0</v>
      </c>
      <c r="L52" s="199">
        <f t="shared" si="4"/>
        <v>100</v>
      </c>
      <c r="M52" s="199">
        <f t="shared" si="5"/>
        <v>0</v>
      </c>
      <c r="N52" s="199">
        <f t="shared" si="6"/>
        <v>100</v>
      </c>
      <c r="O52" s="199">
        <f t="shared" si="7"/>
        <v>121.78333333333333</v>
      </c>
      <c r="P52" s="199">
        <f t="shared" si="8"/>
        <v>100</v>
      </c>
      <c r="Q52" s="199">
        <f t="shared" si="9"/>
        <v>32.675000000000011</v>
      </c>
      <c r="R52" s="199">
        <f t="shared" si="10"/>
        <v>121.78333333333333</v>
      </c>
      <c r="S52" s="199">
        <f t="shared" si="20"/>
        <v>0.1352941566197573</v>
      </c>
    </row>
    <row r="53" spans="1:19" ht="18" customHeight="1" x14ac:dyDescent="0.2">
      <c r="A53" s="201"/>
      <c r="B53" s="127">
        <v>1</v>
      </c>
      <c r="C53" s="195">
        <v>13</v>
      </c>
      <c r="D53" s="197" t="s">
        <v>393</v>
      </c>
      <c r="E53" s="197">
        <v>244</v>
      </c>
      <c r="F53" s="197">
        <v>226</v>
      </c>
      <c r="G53" s="198"/>
      <c r="H53" s="198"/>
      <c r="I53" s="198">
        <v>150</v>
      </c>
      <c r="J53" s="198">
        <v>150</v>
      </c>
      <c r="K53" s="199"/>
      <c r="L53" s="199"/>
      <c r="M53" s="199"/>
      <c r="N53" s="199"/>
      <c r="O53" s="199"/>
      <c r="P53" s="199"/>
      <c r="Q53" s="199"/>
      <c r="R53" s="199"/>
      <c r="S53" s="199"/>
    </row>
    <row r="54" spans="1:19" ht="18" customHeight="1" x14ac:dyDescent="0.2">
      <c r="A54" s="201"/>
      <c r="B54" s="127">
        <v>1</v>
      </c>
      <c r="C54" s="195">
        <v>13</v>
      </c>
      <c r="D54" s="197" t="s">
        <v>393</v>
      </c>
      <c r="E54" s="197">
        <v>244</v>
      </c>
      <c r="F54" s="197">
        <v>310</v>
      </c>
      <c r="G54" s="198"/>
      <c r="H54" s="198"/>
      <c r="I54" s="198">
        <v>32.674999999999997</v>
      </c>
      <c r="J54" s="198">
        <v>32.674999999999997</v>
      </c>
      <c r="K54" s="199"/>
      <c r="L54" s="199"/>
      <c r="M54" s="199"/>
      <c r="N54" s="199"/>
      <c r="O54" s="199"/>
      <c r="P54" s="199"/>
      <c r="Q54" s="199"/>
      <c r="R54" s="199"/>
      <c r="S54" s="199"/>
    </row>
    <row r="55" spans="1:19" ht="23.25" customHeight="1" x14ac:dyDescent="0.2">
      <c r="A55" s="126" t="s">
        <v>370</v>
      </c>
      <c r="B55" s="127">
        <v>1</v>
      </c>
      <c r="C55" s="195">
        <v>13</v>
      </c>
      <c r="D55" s="197" t="s">
        <v>371</v>
      </c>
      <c r="E55" s="197"/>
      <c r="F55" s="197"/>
      <c r="G55" s="206">
        <f t="shared" ref="G55:J55" si="23">G56</f>
        <v>2804.4</v>
      </c>
      <c r="H55" s="198">
        <f>H56</f>
        <v>4212.7860000000001</v>
      </c>
      <c r="I55" s="198">
        <f t="shared" si="23"/>
        <v>4212.7914700000001</v>
      </c>
      <c r="J55" s="198">
        <f t="shared" si="23"/>
        <v>3844.9676400000003</v>
      </c>
      <c r="K55" s="199">
        <f t="shared" si="3"/>
        <v>5.4700000000593718E-3</v>
      </c>
      <c r="L55" s="199">
        <f t="shared" si="4"/>
        <v>100.00012984281661</v>
      </c>
      <c r="M55" s="199">
        <f t="shared" si="5"/>
        <v>-367.82382999999982</v>
      </c>
      <c r="N55" s="199">
        <f t="shared" si="6"/>
        <v>91.268881153521704</v>
      </c>
      <c r="O55" s="199">
        <f t="shared" si="7"/>
        <v>137.10482242190844</v>
      </c>
      <c r="P55" s="199">
        <f t="shared" si="8"/>
        <v>91.268999659607687</v>
      </c>
      <c r="Q55" s="199">
        <f t="shared" si="9"/>
        <v>1408.386</v>
      </c>
      <c r="R55" s="199">
        <f t="shared" si="10"/>
        <v>150.22058194266151</v>
      </c>
      <c r="S55" s="199">
        <f>J55/$J$355*100</f>
        <v>2.8476893613469745</v>
      </c>
    </row>
    <row r="56" spans="1:19" s="204" customFormat="1" ht="36" customHeight="1" x14ac:dyDescent="0.3">
      <c r="A56" s="126" t="s">
        <v>396</v>
      </c>
      <c r="B56" s="127">
        <v>1</v>
      </c>
      <c r="C56" s="195">
        <v>13</v>
      </c>
      <c r="D56" s="197" t="s">
        <v>373</v>
      </c>
      <c r="E56" s="197"/>
      <c r="F56" s="197"/>
      <c r="G56" s="198">
        <f t="shared" ref="G56:J56" si="24">G57+G67</f>
        <v>2804.4</v>
      </c>
      <c r="H56" s="198">
        <f>H57+H67</f>
        <v>4212.7860000000001</v>
      </c>
      <c r="I56" s="198">
        <f t="shared" si="24"/>
        <v>4212.7914700000001</v>
      </c>
      <c r="J56" s="198">
        <f t="shared" si="24"/>
        <v>3844.9676400000003</v>
      </c>
      <c r="K56" s="199">
        <f t="shared" si="3"/>
        <v>5.4700000000593718E-3</v>
      </c>
      <c r="L56" s="199">
        <f t="shared" si="4"/>
        <v>100.00012984281661</v>
      </c>
      <c r="M56" s="199">
        <f t="shared" si="5"/>
        <v>-367.82382999999982</v>
      </c>
      <c r="N56" s="199">
        <f t="shared" si="6"/>
        <v>91.268881153521704</v>
      </c>
      <c r="O56" s="199">
        <f t="shared" si="7"/>
        <v>137.10482242190844</v>
      </c>
      <c r="P56" s="199">
        <f t="shared" si="8"/>
        <v>91.268999659607687</v>
      </c>
      <c r="Q56" s="199">
        <f t="shared" si="9"/>
        <v>1408.386</v>
      </c>
      <c r="R56" s="199">
        <f t="shared" si="10"/>
        <v>150.22058194266151</v>
      </c>
      <c r="S56" s="199">
        <f>J56/$J$355*100</f>
        <v>2.8476893613469745</v>
      </c>
    </row>
    <row r="57" spans="1:19" ht="47.25" customHeight="1" x14ac:dyDescent="0.2">
      <c r="A57" s="201" t="s">
        <v>397</v>
      </c>
      <c r="B57" s="127">
        <v>1</v>
      </c>
      <c r="C57" s="195">
        <v>13</v>
      </c>
      <c r="D57" s="197" t="s">
        <v>398</v>
      </c>
      <c r="E57" s="197"/>
      <c r="F57" s="197"/>
      <c r="G57" s="198">
        <f t="shared" ref="G57:J57" si="25">G58+G63</f>
        <v>0</v>
      </c>
      <c r="H57" s="198">
        <f>H58+H63</f>
        <v>1351.5</v>
      </c>
      <c r="I57" s="198">
        <f t="shared" si="25"/>
        <v>1351.50416</v>
      </c>
      <c r="J57" s="198">
        <f t="shared" si="25"/>
        <v>1351.50416</v>
      </c>
      <c r="K57" s="199">
        <f t="shared" si="3"/>
        <v>4.1599999999561987E-3</v>
      </c>
      <c r="L57" s="199">
        <f t="shared" si="4"/>
        <v>100.00030780614134</v>
      </c>
      <c r="M57" s="199">
        <f t="shared" si="5"/>
        <v>0</v>
      </c>
      <c r="N57" s="199">
        <f t="shared" si="6"/>
        <v>100</v>
      </c>
      <c r="O57" s="199"/>
      <c r="P57" s="199">
        <f t="shared" si="8"/>
        <v>100.00030780614134</v>
      </c>
      <c r="Q57" s="199">
        <f t="shared" si="9"/>
        <v>1351.5</v>
      </c>
      <c r="R57" s="199"/>
      <c r="S57" s="199">
        <f>J57/$J$355*100</f>
        <v>1.0009613548394336</v>
      </c>
    </row>
    <row r="58" spans="1:19" ht="27" customHeight="1" x14ac:dyDescent="0.2">
      <c r="A58" s="201" t="s">
        <v>399</v>
      </c>
      <c r="B58" s="127">
        <v>1</v>
      </c>
      <c r="C58" s="195">
        <v>13</v>
      </c>
      <c r="D58" s="197" t="s">
        <v>398</v>
      </c>
      <c r="E58" s="197">
        <v>200</v>
      </c>
      <c r="F58" s="197"/>
      <c r="G58" s="198">
        <f t="shared" ref="G58:J58" si="26">G59</f>
        <v>0</v>
      </c>
      <c r="H58" s="198">
        <f>H59</f>
        <v>1212.8</v>
      </c>
      <c r="I58" s="198">
        <f t="shared" si="26"/>
        <v>1212.7784999999999</v>
      </c>
      <c r="J58" s="198">
        <f t="shared" si="26"/>
        <v>1212.7784999999999</v>
      </c>
      <c r="K58" s="199">
        <f t="shared" si="3"/>
        <v>-2.1500000000060027E-2</v>
      </c>
      <c r="L58" s="199">
        <f t="shared" si="4"/>
        <v>99.998227242744051</v>
      </c>
      <c r="M58" s="199">
        <f t="shared" si="5"/>
        <v>0</v>
      </c>
      <c r="N58" s="199">
        <f t="shared" si="6"/>
        <v>100</v>
      </c>
      <c r="O58" s="199"/>
      <c r="P58" s="199">
        <f t="shared" si="8"/>
        <v>99.998227242744051</v>
      </c>
      <c r="Q58" s="199">
        <f t="shared" si="9"/>
        <v>1212.8</v>
      </c>
      <c r="R58" s="199"/>
      <c r="S58" s="199">
        <f>J58/$J$355*100</f>
        <v>0.89821729478075441</v>
      </c>
    </row>
    <row r="59" spans="1:19" ht="38.25" customHeight="1" x14ac:dyDescent="0.2">
      <c r="A59" s="201" t="s">
        <v>395</v>
      </c>
      <c r="B59" s="127">
        <v>1</v>
      </c>
      <c r="C59" s="195">
        <v>13</v>
      </c>
      <c r="D59" s="197" t="s">
        <v>398</v>
      </c>
      <c r="E59" s="197">
        <v>240</v>
      </c>
      <c r="F59" s="197"/>
      <c r="G59" s="198"/>
      <c r="H59" s="198">
        <f>'[4]приложение №3 (5) 2022г.'!G51</f>
        <v>1212.8</v>
      </c>
      <c r="I59" s="198">
        <f>I60+I61+I62</f>
        <v>1212.7784999999999</v>
      </c>
      <c r="J59" s="198">
        <f>J60+J61+J62</f>
        <v>1212.7784999999999</v>
      </c>
      <c r="K59" s="199">
        <f t="shared" si="3"/>
        <v>-2.1500000000060027E-2</v>
      </c>
      <c r="L59" s="199">
        <f t="shared" si="4"/>
        <v>99.998227242744051</v>
      </c>
      <c r="M59" s="199">
        <f t="shared" si="5"/>
        <v>0</v>
      </c>
      <c r="N59" s="199">
        <f t="shared" si="6"/>
        <v>100</v>
      </c>
      <c r="O59" s="199"/>
      <c r="P59" s="199">
        <f t="shared" si="8"/>
        <v>99.998227242744051</v>
      </c>
      <c r="Q59" s="199">
        <f t="shared" si="9"/>
        <v>1212.8</v>
      </c>
      <c r="R59" s="199"/>
      <c r="S59" s="199">
        <f>J59/$J$355*100</f>
        <v>0.89821729478075441</v>
      </c>
    </row>
    <row r="60" spans="1:19" ht="18.75" customHeight="1" x14ac:dyDescent="0.2">
      <c r="A60" s="201"/>
      <c r="B60" s="127">
        <v>1</v>
      </c>
      <c r="C60" s="195">
        <v>13</v>
      </c>
      <c r="D60" s="197" t="s">
        <v>398</v>
      </c>
      <c r="E60" s="197">
        <v>244</v>
      </c>
      <c r="F60" s="197">
        <v>225</v>
      </c>
      <c r="G60" s="198"/>
      <c r="H60" s="198"/>
      <c r="I60" s="198">
        <v>214.36850000000001</v>
      </c>
      <c r="J60" s="198">
        <v>214.36850000000001</v>
      </c>
      <c r="K60" s="199"/>
      <c r="L60" s="199"/>
      <c r="M60" s="199"/>
      <c r="N60" s="199"/>
      <c r="O60" s="199"/>
      <c r="P60" s="199"/>
      <c r="Q60" s="199"/>
      <c r="R60" s="199"/>
      <c r="S60" s="199"/>
    </row>
    <row r="61" spans="1:19" ht="16.5" customHeight="1" x14ac:dyDescent="0.2">
      <c r="A61" s="201"/>
      <c r="B61" s="127">
        <v>1</v>
      </c>
      <c r="C61" s="195">
        <v>13</v>
      </c>
      <c r="D61" s="197" t="s">
        <v>398</v>
      </c>
      <c r="E61" s="197">
        <v>244</v>
      </c>
      <c r="F61" s="197">
        <v>226</v>
      </c>
      <c r="G61" s="198"/>
      <c r="H61" s="198"/>
      <c r="I61" s="198">
        <v>90</v>
      </c>
      <c r="J61" s="198">
        <v>90</v>
      </c>
      <c r="K61" s="199"/>
      <c r="L61" s="199"/>
      <c r="M61" s="199"/>
      <c r="N61" s="199"/>
      <c r="O61" s="199"/>
      <c r="P61" s="199"/>
      <c r="Q61" s="199"/>
      <c r="R61" s="199"/>
      <c r="S61" s="199"/>
    </row>
    <row r="62" spans="1:19" ht="17.25" customHeight="1" x14ac:dyDescent="0.2">
      <c r="A62" s="201"/>
      <c r="B62" s="127">
        <v>1</v>
      </c>
      <c r="C62" s="195">
        <v>13</v>
      </c>
      <c r="D62" s="197" t="s">
        <v>398</v>
      </c>
      <c r="E62" s="197">
        <v>247</v>
      </c>
      <c r="F62" s="197">
        <v>223</v>
      </c>
      <c r="G62" s="198"/>
      <c r="H62" s="198"/>
      <c r="I62" s="198">
        <v>908.41</v>
      </c>
      <c r="J62" s="198">
        <v>908.41</v>
      </c>
      <c r="K62" s="199"/>
      <c r="L62" s="199"/>
      <c r="M62" s="199"/>
      <c r="N62" s="199"/>
      <c r="O62" s="199"/>
      <c r="P62" s="199"/>
      <c r="Q62" s="199"/>
      <c r="R62" s="199"/>
      <c r="S62" s="199"/>
    </row>
    <row r="63" spans="1:19" s="204" customFormat="1" ht="19.5" customHeight="1" x14ac:dyDescent="0.3">
      <c r="A63" s="201" t="s">
        <v>400</v>
      </c>
      <c r="B63" s="195">
        <v>1</v>
      </c>
      <c r="C63" s="207">
        <v>13</v>
      </c>
      <c r="D63" s="197" t="s">
        <v>398</v>
      </c>
      <c r="E63" s="207">
        <v>800</v>
      </c>
      <c r="F63" s="207"/>
      <c r="G63" s="199">
        <f t="shared" ref="G63:J63" si="27">G64</f>
        <v>0</v>
      </c>
      <c r="H63" s="199">
        <f>H64</f>
        <v>138.69999999999999</v>
      </c>
      <c r="I63" s="199">
        <f t="shared" si="27"/>
        <v>138.72566</v>
      </c>
      <c r="J63" s="199">
        <f t="shared" si="27"/>
        <v>138.72566</v>
      </c>
      <c r="K63" s="199">
        <f t="shared" si="3"/>
        <v>2.5660000000016225E-2</v>
      </c>
      <c r="L63" s="199">
        <f t="shared" si="4"/>
        <v>100.01850036049026</v>
      </c>
      <c r="M63" s="199">
        <f t="shared" si="5"/>
        <v>0</v>
      </c>
      <c r="N63" s="199">
        <f t="shared" si="6"/>
        <v>100</v>
      </c>
      <c r="O63" s="199"/>
      <c r="P63" s="199">
        <f t="shared" si="8"/>
        <v>100.01850036049026</v>
      </c>
      <c r="Q63" s="199">
        <f t="shared" si="9"/>
        <v>138.69999999999999</v>
      </c>
      <c r="R63" s="199"/>
      <c r="S63" s="199">
        <f>J63/$J$355*100</f>
        <v>0.10274406005867907</v>
      </c>
    </row>
    <row r="64" spans="1:19" s="204" customFormat="1" ht="19.5" customHeight="1" x14ac:dyDescent="0.3">
      <c r="A64" s="201" t="s">
        <v>401</v>
      </c>
      <c r="B64" s="195">
        <v>1</v>
      </c>
      <c r="C64" s="207">
        <v>13</v>
      </c>
      <c r="D64" s="197" t="s">
        <v>398</v>
      </c>
      <c r="E64" s="207">
        <v>850</v>
      </c>
      <c r="F64" s="207"/>
      <c r="G64" s="178"/>
      <c r="H64" s="178">
        <f>'[4]приложение №3 (5) 2022г.'!G53</f>
        <v>138.69999999999999</v>
      </c>
      <c r="I64" s="178">
        <f>I65+I66</f>
        <v>138.72566</v>
      </c>
      <c r="J64" s="178">
        <f>J65+J66</f>
        <v>138.72566</v>
      </c>
      <c r="K64" s="199">
        <f t="shared" si="3"/>
        <v>2.5660000000016225E-2</v>
      </c>
      <c r="L64" s="199">
        <f t="shared" si="4"/>
        <v>100.01850036049026</v>
      </c>
      <c r="M64" s="199">
        <f t="shared" si="5"/>
        <v>0</v>
      </c>
      <c r="N64" s="199">
        <f t="shared" si="6"/>
        <v>100</v>
      </c>
      <c r="O64" s="199"/>
      <c r="P64" s="199">
        <f t="shared" si="8"/>
        <v>100.01850036049026</v>
      </c>
      <c r="Q64" s="199">
        <f t="shared" si="9"/>
        <v>138.69999999999999</v>
      </c>
      <c r="R64" s="199"/>
      <c r="S64" s="199">
        <f>J64/$J$355*100</f>
        <v>0.10274406005867907</v>
      </c>
    </row>
    <row r="65" spans="1:19" s="204" customFormat="1" ht="19.5" customHeight="1" x14ac:dyDescent="0.3">
      <c r="A65" s="201"/>
      <c r="B65" s="195">
        <v>1</v>
      </c>
      <c r="C65" s="207">
        <v>13</v>
      </c>
      <c r="D65" s="197" t="s">
        <v>398</v>
      </c>
      <c r="E65" s="207">
        <v>852</v>
      </c>
      <c r="F65" s="207">
        <v>291</v>
      </c>
      <c r="G65" s="178"/>
      <c r="H65" s="178"/>
      <c r="I65" s="178">
        <v>122.55347</v>
      </c>
      <c r="J65" s="178">
        <v>122.55347</v>
      </c>
      <c r="K65" s="199"/>
      <c r="L65" s="199"/>
      <c r="M65" s="199"/>
      <c r="N65" s="199"/>
      <c r="O65" s="199"/>
      <c r="P65" s="199"/>
      <c r="Q65" s="199"/>
      <c r="R65" s="199"/>
      <c r="S65" s="199"/>
    </row>
    <row r="66" spans="1:19" s="204" customFormat="1" ht="19.5" customHeight="1" x14ac:dyDescent="0.3">
      <c r="A66" s="201"/>
      <c r="B66" s="195">
        <v>1</v>
      </c>
      <c r="C66" s="207">
        <v>13</v>
      </c>
      <c r="D66" s="197" t="s">
        <v>398</v>
      </c>
      <c r="E66" s="207">
        <v>853</v>
      </c>
      <c r="F66" s="207">
        <v>292</v>
      </c>
      <c r="G66" s="178"/>
      <c r="H66" s="178"/>
      <c r="I66" s="178">
        <v>16.172190000000001</v>
      </c>
      <c r="J66" s="178">
        <v>16.172190000000001</v>
      </c>
      <c r="K66" s="199"/>
      <c r="L66" s="199"/>
      <c r="M66" s="199"/>
      <c r="N66" s="199"/>
      <c r="O66" s="199"/>
      <c r="P66" s="199"/>
      <c r="Q66" s="199"/>
      <c r="R66" s="199"/>
      <c r="S66" s="199"/>
    </row>
    <row r="67" spans="1:19" ht="18" customHeight="1" x14ac:dyDescent="0.2">
      <c r="A67" s="126" t="s">
        <v>402</v>
      </c>
      <c r="B67" s="127">
        <v>1</v>
      </c>
      <c r="C67" s="195">
        <v>13</v>
      </c>
      <c r="D67" s="196" t="s">
        <v>403</v>
      </c>
      <c r="E67" s="197"/>
      <c r="F67" s="197"/>
      <c r="G67" s="198">
        <f t="shared" ref="G67:J67" si="28">G68+G79</f>
        <v>2804.4</v>
      </c>
      <c r="H67" s="198">
        <f>H68+H79</f>
        <v>2861.2860000000001</v>
      </c>
      <c r="I67" s="198">
        <f t="shared" si="28"/>
        <v>2861.2873099999997</v>
      </c>
      <c r="J67" s="198">
        <f t="shared" si="28"/>
        <v>2493.4634800000003</v>
      </c>
      <c r="K67" s="199">
        <f t="shared" si="3"/>
        <v>1.3099999996484257E-3</v>
      </c>
      <c r="L67" s="199">
        <f t="shared" si="4"/>
        <v>100.00004578360917</v>
      </c>
      <c r="M67" s="199">
        <f t="shared" si="5"/>
        <v>-367.82382999999936</v>
      </c>
      <c r="N67" s="199">
        <f t="shared" si="6"/>
        <v>87.144813150553574</v>
      </c>
      <c r="O67" s="199">
        <f t="shared" si="7"/>
        <v>88.912547425474258</v>
      </c>
      <c r="P67" s="199">
        <f t="shared" si="8"/>
        <v>87.144853048594243</v>
      </c>
      <c r="Q67" s="199">
        <f t="shared" si="9"/>
        <v>56.885999999999967</v>
      </c>
      <c r="R67" s="199">
        <f t="shared" si="10"/>
        <v>102.02845528455285</v>
      </c>
      <c r="S67" s="199">
        <f>J67/$J$355*100</f>
        <v>1.8467280065075413</v>
      </c>
    </row>
    <row r="68" spans="1:19" s="204" customFormat="1" ht="28.5" customHeight="1" x14ac:dyDescent="0.3">
      <c r="A68" s="201" t="s">
        <v>404</v>
      </c>
      <c r="B68" s="127">
        <v>1</v>
      </c>
      <c r="C68" s="195">
        <v>13</v>
      </c>
      <c r="D68" s="196" t="s">
        <v>403</v>
      </c>
      <c r="E68" s="197">
        <v>200</v>
      </c>
      <c r="F68" s="197"/>
      <c r="G68" s="198">
        <f t="shared" ref="G68:J68" si="29">G69</f>
        <v>2779.4</v>
      </c>
      <c r="H68" s="198">
        <f>H69</f>
        <v>2836.2860000000001</v>
      </c>
      <c r="I68" s="198">
        <f t="shared" si="29"/>
        <v>2836.2873099999997</v>
      </c>
      <c r="J68" s="198">
        <f t="shared" si="29"/>
        <v>2468.4634800000003</v>
      </c>
      <c r="K68" s="199">
        <f t="shared" si="3"/>
        <v>1.3099999996484257E-3</v>
      </c>
      <c r="L68" s="199">
        <f t="shared" si="4"/>
        <v>100.00004618716164</v>
      </c>
      <c r="M68" s="199">
        <f t="shared" si="5"/>
        <v>-367.82382999999936</v>
      </c>
      <c r="N68" s="199">
        <f t="shared" si="6"/>
        <v>87.03150316601743</v>
      </c>
      <c r="O68" s="199">
        <f t="shared" si="7"/>
        <v>88.812818593941145</v>
      </c>
      <c r="P68" s="199">
        <f t="shared" si="8"/>
        <v>87.031543363398484</v>
      </c>
      <c r="Q68" s="199">
        <f t="shared" si="9"/>
        <v>56.885999999999967</v>
      </c>
      <c r="R68" s="199">
        <f t="shared" si="10"/>
        <v>102.04670072677555</v>
      </c>
      <c r="S68" s="199">
        <f>J68/$J$355*100</f>
        <v>1.8282123151677634</v>
      </c>
    </row>
    <row r="69" spans="1:19" s="204" customFormat="1" ht="38.25" customHeight="1" x14ac:dyDescent="0.3">
      <c r="A69" s="201" t="s">
        <v>395</v>
      </c>
      <c r="B69" s="127">
        <v>1</v>
      </c>
      <c r="C69" s="195">
        <v>13</v>
      </c>
      <c r="D69" s="196" t="s">
        <v>403</v>
      </c>
      <c r="E69" s="197">
        <v>240</v>
      </c>
      <c r="F69" s="197"/>
      <c r="G69" s="198">
        <v>2779.4</v>
      </c>
      <c r="H69" s="198">
        <f>'[4]приложение №3 (5) 2022г.'!G56</f>
        <v>2836.2860000000001</v>
      </c>
      <c r="I69" s="198">
        <f>SUM(I70:I78)</f>
        <v>2836.2873099999997</v>
      </c>
      <c r="J69" s="198">
        <f>SUM(J70:J78)</f>
        <v>2468.4634800000003</v>
      </c>
      <c r="K69" s="199">
        <f t="shared" si="3"/>
        <v>1.3099999996484257E-3</v>
      </c>
      <c r="L69" s="199">
        <f t="shared" si="4"/>
        <v>100.00004618716164</v>
      </c>
      <c r="M69" s="199">
        <f t="shared" si="5"/>
        <v>-367.82382999999936</v>
      </c>
      <c r="N69" s="199">
        <f t="shared" si="6"/>
        <v>87.03150316601743</v>
      </c>
      <c r="O69" s="199">
        <f t="shared" si="7"/>
        <v>88.812818593941145</v>
      </c>
      <c r="P69" s="199">
        <f t="shared" si="8"/>
        <v>87.031543363398484</v>
      </c>
      <c r="Q69" s="199">
        <f t="shared" si="9"/>
        <v>56.885999999999967</v>
      </c>
      <c r="R69" s="199">
        <f t="shared" si="10"/>
        <v>102.04670072677555</v>
      </c>
      <c r="S69" s="199">
        <f>J69/$J$355*100</f>
        <v>1.8282123151677634</v>
      </c>
    </row>
    <row r="70" spans="1:19" s="204" customFormat="1" ht="19.5" customHeight="1" x14ac:dyDescent="0.3">
      <c r="A70" s="201"/>
      <c r="B70" s="127">
        <v>1</v>
      </c>
      <c r="C70" s="195">
        <v>13</v>
      </c>
      <c r="D70" s="196" t="s">
        <v>403</v>
      </c>
      <c r="E70" s="197">
        <v>244</v>
      </c>
      <c r="F70" s="197">
        <v>221</v>
      </c>
      <c r="G70" s="198"/>
      <c r="H70" s="198"/>
      <c r="I70" s="198">
        <v>118.90694999999999</v>
      </c>
      <c r="J70" s="198">
        <v>112.32895000000001</v>
      </c>
      <c r="K70" s="199"/>
      <c r="L70" s="199"/>
      <c r="M70" s="199">
        <f t="shared" si="5"/>
        <v>-6.5779999999999887</v>
      </c>
      <c r="N70" s="199"/>
      <c r="O70" s="199"/>
      <c r="P70" s="199"/>
      <c r="Q70" s="199"/>
      <c r="R70" s="199"/>
      <c r="S70" s="199"/>
    </row>
    <row r="71" spans="1:19" s="204" customFormat="1" ht="16.5" customHeight="1" x14ac:dyDescent="0.3">
      <c r="A71" s="201"/>
      <c r="B71" s="127">
        <v>1</v>
      </c>
      <c r="C71" s="195">
        <v>13</v>
      </c>
      <c r="D71" s="196" t="s">
        <v>403</v>
      </c>
      <c r="E71" s="197">
        <v>244</v>
      </c>
      <c r="F71" s="197">
        <v>223</v>
      </c>
      <c r="G71" s="198"/>
      <c r="H71" s="198"/>
      <c r="I71" s="198">
        <v>49.165770000000002</v>
      </c>
      <c r="J71" s="198">
        <v>49.165770000000002</v>
      </c>
      <c r="K71" s="199"/>
      <c r="L71" s="199"/>
      <c r="M71" s="199">
        <f t="shared" si="5"/>
        <v>0</v>
      </c>
      <c r="N71" s="199"/>
      <c r="O71" s="199"/>
      <c r="P71" s="199"/>
      <c r="Q71" s="199"/>
      <c r="R71" s="199"/>
      <c r="S71" s="199"/>
    </row>
    <row r="72" spans="1:19" s="204" customFormat="1" ht="18.75" customHeight="1" x14ac:dyDescent="0.3">
      <c r="A72" s="201"/>
      <c r="B72" s="127">
        <v>1</v>
      </c>
      <c r="C72" s="195">
        <v>13</v>
      </c>
      <c r="D72" s="196" t="s">
        <v>403</v>
      </c>
      <c r="E72" s="197">
        <v>244</v>
      </c>
      <c r="F72" s="197">
        <v>224</v>
      </c>
      <c r="G72" s="198"/>
      <c r="H72" s="198"/>
      <c r="I72" s="198">
        <v>743.31061999999997</v>
      </c>
      <c r="J72" s="198">
        <v>743.31061999999997</v>
      </c>
      <c r="K72" s="199"/>
      <c r="L72" s="199"/>
      <c r="M72" s="199">
        <f t="shared" si="5"/>
        <v>0</v>
      </c>
      <c r="N72" s="199"/>
      <c r="O72" s="199"/>
      <c r="P72" s="199"/>
      <c r="Q72" s="199"/>
      <c r="R72" s="199"/>
      <c r="S72" s="199"/>
    </row>
    <row r="73" spans="1:19" s="204" customFormat="1" ht="17.25" customHeight="1" x14ac:dyDescent="0.3">
      <c r="A73" s="201"/>
      <c r="B73" s="127">
        <v>1</v>
      </c>
      <c r="C73" s="195">
        <v>13</v>
      </c>
      <c r="D73" s="196" t="s">
        <v>403</v>
      </c>
      <c r="E73" s="197">
        <v>244</v>
      </c>
      <c r="F73" s="197">
        <v>225</v>
      </c>
      <c r="G73" s="198"/>
      <c r="H73" s="198"/>
      <c r="I73" s="198">
        <v>120.44956999999999</v>
      </c>
      <c r="J73" s="198">
        <v>120.44956999999999</v>
      </c>
      <c r="K73" s="199"/>
      <c r="L73" s="199"/>
      <c r="M73" s="199">
        <f t="shared" si="5"/>
        <v>0</v>
      </c>
      <c r="N73" s="199"/>
      <c r="O73" s="199"/>
      <c r="P73" s="199"/>
      <c r="Q73" s="199"/>
      <c r="R73" s="199"/>
      <c r="S73" s="199"/>
    </row>
    <row r="74" spans="1:19" s="204" customFormat="1" ht="17.25" customHeight="1" x14ac:dyDescent="0.3">
      <c r="A74" s="201"/>
      <c r="B74" s="127">
        <v>1</v>
      </c>
      <c r="C74" s="195">
        <v>13</v>
      </c>
      <c r="D74" s="196" t="s">
        <v>403</v>
      </c>
      <c r="E74" s="197">
        <v>244</v>
      </c>
      <c r="F74" s="197">
        <v>226</v>
      </c>
      <c r="G74" s="198"/>
      <c r="H74" s="198"/>
      <c r="I74" s="198">
        <v>613.13690999999994</v>
      </c>
      <c r="J74" s="198">
        <v>446.54752999999999</v>
      </c>
      <c r="K74" s="199"/>
      <c r="L74" s="199"/>
      <c r="M74" s="199">
        <f t="shared" si="5"/>
        <v>-166.58937999999995</v>
      </c>
      <c r="N74" s="199"/>
      <c r="O74" s="199"/>
      <c r="P74" s="199"/>
      <c r="Q74" s="199"/>
      <c r="R74" s="199"/>
      <c r="S74" s="199"/>
    </row>
    <row r="75" spans="1:19" s="204" customFormat="1" ht="17.25" customHeight="1" x14ac:dyDescent="0.3">
      <c r="A75" s="201"/>
      <c r="B75" s="127">
        <v>1</v>
      </c>
      <c r="C75" s="195">
        <v>13</v>
      </c>
      <c r="D75" s="196" t="s">
        <v>403</v>
      </c>
      <c r="E75" s="197">
        <v>244</v>
      </c>
      <c r="F75" s="197">
        <v>310</v>
      </c>
      <c r="G75" s="198"/>
      <c r="H75" s="198"/>
      <c r="I75" s="198">
        <v>24.849</v>
      </c>
      <c r="J75" s="198">
        <v>24.849</v>
      </c>
      <c r="K75" s="199"/>
      <c r="L75" s="199"/>
      <c r="M75" s="199">
        <f t="shared" si="5"/>
        <v>0</v>
      </c>
      <c r="N75" s="199"/>
      <c r="O75" s="199"/>
      <c r="P75" s="199"/>
      <c r="Q75" s="199"/>
      <c r="R75" s="199"/>
      <c r="S75" s="199"/>
    </row>
    <row r="76" spans="1:19" s="204" customFormat="1" ht="23.25" customHeight="1" x14ac:dyDescent="0.3">
      <c r="A76" s="201"/>
      <c r="B76" s="127">
        <v>1</v>
      </c>
      <c r="C76" s="195">
        <v>13</v>
      </c>
      <c r="D76" s="196" t="s">
        <v>403</v>
      </c>
      <c r="E76" s="197">
        <v>244</v>
      </c>
      <c r="F76" s="197">
        <v>346</v>
      </c>
      <c r="G76" s="198"/>
      <c r="H76" s="198"/>
      <c r="I76" s="198">
        <v>127.69114</v>
      </c>
      <c r="J76" s="198">
        <v>127.69114</v>
      </c>
      <c r="K76" s="199"/>
      <c r="L76" s="199"/>
      <c r="M76" s="199">
        <f t="shared" si="5"/>
        <v>0</v>
      </c>
      <c r="N76" s="199"/>
      <c r="O76" s="199"/>
      <c r="P76" s="199"/>
      <c r="Q76" s="199"/>
      <c r="R76" s="199"/>
      <c r="S76" s="199"/>
    </row>
    <row r="77" spans="1:19" s="204" customFormat="1" ht="15" customHeight="1" x14ac:dyDescent="0.3">
      <c r="A77" s="201"/>
      <c r="B77" s="127">
        <v>1</v>
      </c>
      <c r="C77" s="195">
        <v>13</v>
      </c>
      <c r="D77" s="196" t="s">
        <v>403</v>
      </c>
      <c r="E77" s="197">
        <v>244</v>
      </c>
      <c r="F77" s="197">
        <v>349</v>
      </c>
      <c r="G77" s="198"/>
      <c r="H77" s="198"/>
      <c r="I77" s="198">
        <v>48.195529999999998</v>
      </c>
      <c r="J77" s="198">
        <v>41.66</v>
      </c>
      <c r="K77" s="199"/>
      <c r="L77" s="199"/>
      <c r="M77" s="199">
        <f t="shared" si="5"/>
        <v>-6.5355300000000014</v>
      </c>
      <c r="N77" s="199"/>
      <c r="O77" s="199"/>
      <c r="P77" s="199"/>
      <c r="Q77" s="199"/>
      <c r="R77" s="199"/>
      <c r="S77" s="199"/>
    </row>
    <row r="78" spans="1:19" s="204" customFormat="1" ht="18" customHeight="1" x14ac:dyDescent="0.3">
      <c r="A78" s="201"/>
      <c r="B78" s="127">
        <v>1</v>
      </c>
      <c r="C78" s="195">
        <v>13</v>
      </c>
      <c r="D78" s="196" t="s">
        <v>403</v>
      </c>
      <c r="E78" s="197">
        <v>247</v>
      </c>
      <c r="F78" s="197">
        <v>223</v>
      </c>
      <c r="G78" s="198"/>
      <c r="H78" s="198"/>
      <c r="I78" s="198">
        <v>990.58181999999999</v>
      </c>
      <c r="J78" s="198">
        <v>802.46090000000004</v>
      </c>
      <c r="K78" s="199"/>
      <c r="L78" s="199"/>
      <c r="M78" s="199">
        <f t="shared" si="5"/>
        <v>-188.12091999999996</v>
      </c>
      <c r="N78" s="199"/>
      <c r="O78" s="199"/>
      <c r="P78" s="199"/>
      <c r="Q78" s="199"/>
      <c r="R78" s="199"/>
      <c r="S78" s="199"/>
    </row>
    <row r="79" spans="1:19" s="204" customFormat="1" ht="16.5" customHeight="1" x14ac:dyDescent="0.3">
      <c r="A79" s="201" t="s">
        <v>400</v>
      </c>
      <c r="B79" s="195">
        <v>1</v>
      </c>
      <c r="C79" s="207">
        <v>13</v>
      </c>
      <c r="D79" s="197" t="s">
        <v>403</v>
      </c>
      <c r="E79" s="207">
        <v>800</v>
      </c>
      <c r="F79" s="207"/>
      <c r="G79" s="199">
        <f t="shared" ref="G79:J79" si="30">G80</f>
        <v>25</v>
      </c>
      <c r="H79" s="199">
        <f>H80</f>
        <v>25</v>
      </c>
      <c r="I79" s="199">
        <f t="shared" si="30"/>
        <v>25</v>
      </c>
      <c r="J79" s="199">
        <f t="shared" si="30"/>
        <v>25</v>
      </c>
      <c r="K79" s="199">
        <f t="shared" si="3"/>
        <v>0</v>
      </c>
      <c r="L79" s="199">
        <f t="shared" si="4"/>
        <v>100</v>
      </c>
      <c r="M79" s="199">
        <f t="shared" si="5"/>
        <v>0</v>
      </c>
      <c r="N79" s="199">
        <f t="shared" si="6"/>
        <v>100</v>
      </c>
      <c r="O79" s="199">
        <f t="shared" si="7"/>
        <v>100</v>
      </c>
      <c r="P79" s="199">
        <f t="shared" si="8"/>
        <v>100</v>
      </c>
      <c r="Q79" s="199">
        <f t="shared" si="9"/>
        <v>0</v>
      </c>
      <c r="R79" s="199">
        <f t="shared" si="10"/>
        <v>100</v>
      </c>
      <c r="S79" s="199">
        <f>J79/$J$355*100</f>
        <v>1.8515691339777925E-2</v>
      </c>
    </row>
    <row r="80" spans="1:19" s="204" customFormat="1" ht="18" customHeight="1" x14ac:dyDescent="0.3">
      <c r="A80" s="201" t="s">
        <v>401</v>
      </c>
      <c r="B80" s="195">
        <v>1</v>
      </c>
      <c r="C80" s="207">
        <v>13</v>
      </c>
      <c r="D80" s="197" t="s">
        <v>403</v>
      </c>
      <c r="E80" s="207">
        <v>850</v>
      </c>
      <c r="F80" s="207"/>
      <c r="G80" s="178">
        <v>25</v>
      </c>
      <c r="H80" s="178">
        <f>'[4]приложение №3 (5) 2022г.'!G58</f>
        <v>25</v>
      </c>
      <c r="I80" s="178">
        <f>I81</f>
        <v>25</v>
      </c>
      <c r="J80" s="178">
        <f>J81</f>
        <v>25</v>
      </c>
      <c r="K80" s="199">
        <f t="shared" si="3"/>
        <v>0</v>
      </c>
      <c r="L80" s="199">
        <f t="shared" si="4"/>
        <v>100</v>
      </c>
      <c r="M80" s="199">
        <f t="shared" si="5"/>
        <v>0</v>
      </c>
      <c r="N80" s="199">
        <f t="shared" si="6"/>
        <v>100</v>
      </c>
      <c r="O80" s="199">
        <f t="shared" si="7"/>
        <v>100</v>
      </c>
      <c r="P80" s="199">
        <f t="shared" si="8"/>
        <v>100</v>
      </c>
      <c r="Q80" s="199">
        <f t="shared" si="9"/>
        <v>0</v>
      </c>
      <c r="R80" s="199">
        <f t="shared" si="10"/>
        <v>100</v>
      </c>
      <c r="S80" s="199">
        <f>J80/$J$355*100</f>
        <v>1.8515691339777925E-2</v>
      </c>
    </row>
    <row r="81" spans="1:19" s="204" customFormat="1" ht="18" customHeight="1" x14ac:dyDescent="0.3">
      <c r="A81" s="201"/>
      <c r="B81" s="195">
        <v>1</v>
      </c>
      <c r="C81" s="207">
        <v>13</v>
      </c>
      <c r="D81" s="197" t="s">
        <v>403</v>
      </c>
      <c r="E81" s="207">
        <v>853</v>
      </c>
      <c r="F81" s="207">
        <v>297</v>
      </c>
      <c r="G81" s="178"/>
      <c r="H81" s="178"/>
      <c r="I81" s="178">
        <v>25</v>
      </c>
      <c r="J81" s="178">
        <v>25</v>
      </c>
      <c r="K81" s="199"/>
      <c r="L81" s="199"/>
      <c r="M81" s="199"/>
      <c r="N81" s="199"/>
      <c r="O81" s="199"/>
      <c r="P81" s="199"/>
      <c r="Q81" s="199"/>
      <c r="R81" s="199"/>
      <c r="S81" s="199"/>
    </row>
    <row r="82" spans="1:19" ht="60.75" customHeight="1" x14ac:dyDescent="0.2">
      <c r="A82" s="126" t="s">
        <v>405</v>
      </c>
      <c r="B82" s="127">
        <v>1</v>
      </c>
      <c r="C82" s="195">
        <v>13</v>
      </c>
      <c r="D82" s="196" t="s">
        <v>406</v>
      </c>
      <c r="E82" s="197"/>
      <c r="F82" s="197"/>
      <c r="G82" s="198">
        <f t="shared" ref="G82:J83" si="31">G83</f>
        <v>0</v>
      </c>
      <c r="H82" s="198">
        <f t="shared" si="31"/>
        <v>64.739000000000004</v>
      </c>
      <c r="I82" s="198">
        <f t="shared" si="31"/>
        <v>64.7</v>
      </c>
      <c r="J82" s="198">
        <f t="shared" si="31"/>
        <v>64.7</v>
      </c>
      <c r="K82" s="199">
        <f t="shared" si="3"/>
        <v>-3.9000000000001478E-2</v>
      </c>
      <c r="L82" s="199">
        <f t="shared" si="4"/>
        <v>99.939758105624122</v>
      </c>
      <c r="M82" s="199">
        <f t="shared" si="5"/>
        <v>0</v>
      </c>
      <c r="N82" s="199">
        <f t="shared" si="6"/>
        <v>100</v>
      </c>
      <c r="O82" s="199"/>
      <c r="P82" s="199">
        <f t="shared" si="8"/>
        <v>99.939758105624122</v>
      </c>
      <c r="Q82" s="199">
        <f t="shared" si="9"/>
        <v>64.739000000000004</v>
      </c>
      <c r="R82" s="199"/>
      <c r="S82" s="199">
        <f t="shared" ref="S82:S91" si="32">J82/$J$355*100</f>
        <v>4.7918609187345265E-2</v>
      </c>
    </row>
    <row r="83" spans="1:19" s="204" customFormat="1" ht="17.25" customHeight="1" x14ac:dyDescent="0.3">
      <c r="A83" s="208" t="s">
        <v>407</v>
      </c>
      <c r="B83" s="127">
        <v>1</v>
      </c>
      <c r="C83" s="195">
        <v>13</v>
      </c>
      <c r="D83" s="196" t="s">
        <v>406</v>
      </c>
      <c r="E83" s="197">
        <v>500</v>
      </c>
      <c r="F83" s="197"/>
      <c r="G83" s="198">
        <f t="shared" si="31"/>
        <v>0</v>
      </c>
      <c r="H83" s="198">
        <f t="shared" si="31"/>
        <v>64.739000000000004</v>
      </c>
      <c r="I83" s="198">
        <f t="shared" si="31"/>
        <v>64.7</v>
      </c>
      <c r="J83" s="198">
        <f t="shared" si="31"/>
        <v>64.7</v>
      </c>
      <c r="K83" s="199">
        <f t="shared" si="3"/>
        <v>-3.9000000000001478E-2</v>
      </c>
      <c r="L83" s="199">
        <f t="shared" si="4"/>
        <v>99.939758105624122</v>
      </c>
      <c r="M83" s="199">
        <f t="shared" si="5"/>
        <v>0</v>
      </c>
      <c r="N83" s="199">
        <f t="shared" si="6"/>
        <v>100</v>
      </c>
      <c r="O83" s="199"/>
      <c r="P83" s="199">
        <f t="shared" si="8"/>
        <v>99.939758105624122</v>
      </c>
      <c r="Q83" s="199">
        <f t="shared" si="9"/>
        <v>64.739000000000004</v>
      </c>
      <c r="R83" s="199"/>
      <c r="S83" s="199">
        <f t="shared" si="32"/>
        <v>4.7918609187345265E-2</v>
      </c>
    </row>
    <row r="84" spans="1:19" s="204" customFormat="1" ht="15.75" customHeight="1" x14ac:dyDescent="0.3">
      <c r="A84" s="201" t="s">
        <v>206</v>
      </c>
      <c r="B84" s="127">
        <v>1</v>
      </c>
      <c r="C84" s="195">
        <v>13</v>
      </c>
      <c r="D84" s="196" t="s">
        <v>406</v>
      </c>
      <c r="E84" s="197">
        <v>540</v>
      </c>
      <c r="F84" s="197">
        <v>251</v>
      </c>
      <c r="G84" s="198"/>
      <c r="H84" s="198">
        <f>'[4]приложение №3 (5) 2022г.'!G61</f>
        <v>64.739000000000004</v>
      </c>
      <c r="I84" s="198">
        <v>64.7</v>
      </c>
      <c r="J84" s="198">
        <v>64.7</v>
      </c>
      <c r="K84" s="199">
        <f t="shared" si="3"/>
        <v>-3.9000000000001478E-2</v>
      </c>
      <c r="L84" s="199">
        <f t="shared" si="4"/>
        <v>99.939758105624122</v>
      </c>
      <c r="M84" s="199">
        <f t="shared" si="5"/>
        <v>0</v>
      </c>
      <c r="N84" s="199">
        <f t="shared" si="6"/>
        <v>100</v>
      </c>
      <c r="O84" s="199"/>
      <c r="P84" s="199">
        <f t="shared" si="8"/>
        <v>99.939758105624122</v>
      </c>
      <c r="Q84" s="199">
        <f t="shared" si="9"/>
        <v>64.739000000000004</v>
      </c>
      <c r="R84" s="199"/>
      <c r="S84" s="199">
        <f t="shared" si="32"/>
        <v>4.7918609187345265E-2</v>
      </c>
    </row>
    <row r="85" spans="1:19" s="188" customFormat="1" ht="22.5" customHeight="1" x14ac:dyDescent="0.25">
      <c r="A85" s="209" t="s">
        <v>316</v>
      </c>
      <c r="B85" s="210" t="s">
        <v>305</v>
      </c>
      <c r="C85" s="211"/>
      <c r="D85" s="184"/>
      <c r="E85" s="185"/>
      <c r="F85" s="185"/>
      <c r="G85" s="186">
        <f t="shared" ref="G85:J86" si="33">G86</f>
        <v>493.8</v>
      </c>
      <c r="H85" s="186">
        <f>H86</f>
        <v>599.26</v>
      </c>
      <c r="I85" s="186">
        <f t="shared" si="33"/>
        <v>599.26166000000001</v>
      </c>
      <c r="J85" s="186">
        <f t="shared" si="33"/>
        <v>599.26256000000001</v>
      </c>
      <c r="K85" s="187">
        <f t="shared" si="3"/>
        <v>1.6600000000153159E-3</v>
      </c>
      <c r="L85" s="187">
        <f t="shared" si="4"/>
        <v>100.00027700831025</v>
      </c>
      <c r="M85" s="187">
        <f t="shared" si="5"/>
        <v>9.0000000000145519E-4</v>
      </c>
      <c r="N85" s="187">
        <f t="shared" si="6"/>
        <v>100.00015018481243</v>
      </c>
      <c r="O85" s="187">
        <f t="shared" si="7"/>
        <v>121.35734305386796</v>
      </c>
      <c r="P85" s="187">
        <f t="shared" si="8"/>
        <v>100.0004271935387</v>
      </c>
      <c r="Q85" s="187">
        <f t="shared" si="9"/>
        <v>105.45999999999998</v>
      </c>
      <c r="R85" s="187">
        <f t="shared" si="10"/>
        <v>121.35682462535439</v>
      </c>
      <c r="S85" s="187">
        <f t="shared" si="32"/>
        <v>0.4438304236978059</v>
      </c>
    </row>
    <row r="86" spans="1:19" s="188" customFormat="1" ht="29.25" customHeight="1" x14ac:dyDescent="0.25">
      <c r="A86" s="189" t="s">
        <v>317</v>
      </c>
      <c r="B86" s="212" t="s">
        <v>305</v>
      </c>
      <c r="C86" s="212" t="s">
        <v>318</v>
      </c>
      <c r="D86" s="192"/>
      <c r="E86" s="193"/>
      <c r="F86" s="193"/>
      <c r="G86" s="194">
        <f t="shared" si="33"/>
        <v>493.8</v>
      </c>
      <c r="H86" s="194">
        <f>H87</f>
        <v>599.26</v>
      </c>
      <c r="I86" s="194">
        <f t="shared" si="33"/>
        <v>599.26166000000001</v>
      </c>
      <c r="J86" s="194">
        <f t="shared" si="33"/>
        <v>599.26256000000001</v>
      </c>
      <c r="K86" s="187">
        <f t="shared" si="3"/>
        <v>1.6600000000153159E-3</v>
      </c>
      <c r="L86" s="187">
        <f t="shared" si="4"/>
        <v>100.00027700831025</v>
      </c>
      <c r="M86" s="187">
        <f t="shared" si="5"/>
        <v>9.0000000000145519E-4</v>
      </c>
      <c r="N86" s="187">
        <f t="shared" si="6"/>
        <v>100.00015018481243</v>
      </c>
      <c r="O86" s="187">
        <f t="shared" si="7"/>
        <v>121.35734305386796</v>
      </c>
      <c r="P86" s="187">
        <f t="shared" si="8"/>
        <v>100.0004271935387</v>
      </c>
      <c r="Q86" s="187">
        <f t="shared" si="9"/>
        <v>105.45999999999998</v>
      </c>
      <c r="R86" s="187">
        <f t="shared" si="10"/>
        <v>121.35682462535439</v>
      </c>
      <c r="S86" s="187">
        <f t="shared" si="32"/>
        <v>0.4438304236978059</v>
      </c>
    </row>
    <row r="87" spans="1:19" ht="18.75" customHeight="1" x14ac:dyDescent="0.2">
      <c r="A87" s="126" t="s">
        <v>370</v>
      </c>
      <c r="B87" s="213" t="s">
        <v>305</v>
      </c>
      <c r="C87" s="213" t="s">
        <v>318</v>
      </c>
      <c r="D87" s="196" t="s">
        <v>371</v>
      </c>
      <c r="E87" s="197"/>
      <c r="F87" s="197"/>
      <c r="G87" s="198">
        <f t="shared" ref="G87:J87" si="34">G88+G98</f>
        <v>493.8</v>
      </c>
      <c r="H87" s="198">
        <f>H88+H98</f>
        <v>599.26</v>
      </c>
      <c r="I87" s="198">
        <f t="shared" si="34"/>
        <v>599.26166000000001</v>
      </c>
      <c r="J87" s="198">
        <f t="shared" si="34"/>
        <v>599.26256000000001</v>
      </c>
      <c r="K87" s="199">
        <f t="shared" si="3"/>
        <v>1.6600000000153159E-3</v>
      </c>
      <c r="L87" s="199">
        <f t="shared" si="4"/>
        <v>100.00027700831025</v>
      </c>
      <c r="M87" s="199">
        <f t="shared" si="5"/>
        <v>9.0000000000145519E-4</v>
      </c>
      <c r="N87" s="199">
        <f t="shared" si="6"/>
        <v>100.00015018481243</v>
      </c>
      <c r="O87" s="199">
        <f t="shared" si="7"/>
        <v>121.35734305386796</v>
      </c>
      <c r="P87" s="199">
        <f t="shared" si="8"/>
        <v>100.0004271935387</v>
      </c>
      <c r="Q87" s="199">
        <f t="shared" si="9"/>
        <v>105.45999999999998</v>
      </c>
      <c r="R87" s="199">
        <f t="shared" si="10"/>
        <v>121.35682462535439</v>
      </c>
      <c r="S87" s="199">
        <f t="shared" si="32"/>
        <v>0.4438304236978059</v>
      </c>
    </row>
    <row r="88" spans="1:19" ht="36.75" customHeight="1" x14ac:dyDescent="0.2">
      <c r="A88" s="126" t="s">
        <v>396</v>
      </c>
      <c r="B88" s="213" t="s">
        <v>305</v>
      </c>
      <c r="C88" s="213" t="s">
        <v>318</v>
      </c>
      <c r="D88" s="196" t="s">
        <v>373</v>
      </c>
      <c r="E88" s="197"/>
      <c r="F88" s="197"/>
      <c r="G88" s="198">
        <f t="shared" ref="G88:J88" si="35">G89</f>
        <v>493.8</v>
      </c>
      <c r="H88" s="198">
        <f>H89</f>
        <v>569.84299999999996</v>
      </c>
      <c r="I88" s="198">
        <f t="shared" si="35"/>
        <v>569.84366</v>
      </c>
      <c r="J88" s="198">
        <f t="shared" si="35"/>
        <v>569.84456</v>
      </c>
      <c r="K88" s="199">
        <f t="shared" si="3"/>
        <v>6.6000000003896275E-4</v>
      </c>
      <c r="L88" s="199">
        <f t="shared" si="4"/>
        <v>100.00011582137536</v>
      </c>
      <c r="M88" s="199">
        <f t="shared" si="5"/>
        <v>9.0000000000145519E-4</v>
      </c>
      <c r="N88" s="199">
        <f t="shared" si="6"/>
        <v>100.0001579380562</v>
      </c>
      <c r="O88" s="199">
        <f t="shared" si="7"/>
        <v>115.39987039287161</v>
      </c>
      <c r="P88" s="199">
        <f t="shared" si="8"/>
        <v>100.00027375961449</v>
      </c>
      <c r="Q88" s="199">
        <f t="shared" si="9"/>
        <v>76.04299999999995</v>
      </c>
      <c r="R88" s="199">
        <f t="shared" si="10"/>
        <v>115.39955447549615</v>
      </c>
      <c r="S88" s="199">
        <f t="shared" si="32"/>
        <v>0.42204263938446246</v>
      </c>
    </row>
    <row r="89" spans="1:19" ht="37.5" customHeight="1" x14ac:dyDescent="0.2">
      <c r="A89" s="208" t="s">
        <v>408</v>
      </c>
      <c r="B89" s="213" t="s">
        <v>305</v>
      </c>
      <c r="C89" s="213" t="s">
        <v>318</v>
      </c>
      <c r="D89" s="213" t="s">
        <v>409</v>
      </c>
      <c r="E89" s="197"/>
      <c r="F89" s="197"/>
      <c r="G89" s="198">
        <f t="shared" ref="G89:J89" si="36">G90+G95</f>
        <v>493.8</v>
      </c>
      <c r="H89" s="198">
        <f>H90+H95</f>
        <v>569.84299999999996</v>
      </c>
      <c r="I89" s="198">
        <f t="shared" si="36"/>
        <v>569.84366</v>
      </c>
      <c r="J89" s="198">
        <f t="shared" si="36"/>
        <v>569.84456</v>
      </c>
      <c r="K89" s="199">
        <f t="shared" si="3"/>
        <v>6.6000000003896275E-4</v>
      </c>
      <c r="L89" s="199">
        <f t="shared" si="4"/>
        <v>100.00011582137536</v>
      </c>
      <c r="M89" s="199">
        <f t="shared" si="5"/>
        <v>9.0000000000145519E-4</v>
      </c>
      <c r="N89" s="199">
        <f t="shared" si="6"/>
        <v>100.0001579380562</v>
      </c>
      <c r="O89" s="199">
        <f t="shared" si="7"/>
        <v>115.39987039287161</v>
      </c>
      <c r="P89" s="199">
        <f t="shared" si="8"/>
        <v>100.00027375961449</v>
      </c>
      <c r="Q89" s="199">
        <f t="shared" si="9"/>
        <v>76.04299999999995</v>
      </c>
      <c r="R89" s="199">
        <f t="shared" si="10"/>
        <v>115.39955447549615</v>
      </c>
      <c r="S89" s="199">
        <f t="shared" si="32"/>
        <v>0.42204263938446246</v>
      </c>
    </row>
    <row r="90" spans="1:19" ht="63.75" customHeight="1" x14ac:dyDescent="0.2">
      <c r="A90" s="201" t="s">
        <v>376</v>
      </c>
      <c r="B90" s="213" t="s">
        <v>305</v>
      </c>
      <c r="C90" s="213" t="s">
        <v>318</v>
      </c>
      <c r="D90" s="213" t="s">
        <v>409</v>
      </c>
      <c r="E90" s="197">
        <v>100</v>
      </c>
      <c r="F90" s="197"/>
      <c r="G90" s="198">
        <f t="shared" ref="G90:J90" si="37">G91</f>
        <v>493.8</v>
      </c>
      <c r="H90" s="198">
        <f>H91</f>
        <v>513.93899999999996</v>
      </c>
      <c r="I90" s="198">
        <f t="shared" si="37"/>
        <v>513.93866000000003</v>
      </c>
      <c r="J90" s="198">
        <f t="shared" si="37"/>
        <v>513.93956000000003</v>
      </c>
      <c r="K90" s="199">
        <f t="shared" si="3"/>
        <v>-3.3999999993739038E-4</v>
      </c>
      <c r="L90" s="199">
        <f t="shared" si="4"/>
        <v>99.999933844288918</v>
      </c>
      <c r="M90" s="199">
        <f t="shared" si="5"/>
        <v>9.0000000000145519E-4</v>
      </c>
      <c r="N90" s="199">
        <f t="shared" si="6"/>
        <v>100.00017511817461</v>
      </c>
      <c r="O90" s="199">
        <f t="shared" si="7"/>
        <v>104.07848521668693</v>
      </c>
      <c r="P90" s="199">
        <f t="shared" si="8"/>
        <v>100.00010896234768</v>
      </c>
      <c r="Q90" s="199">
        <f t="shared" si="9"/>
        <v>20.138999999999953</v>
      </c>
      <c r="R90" s="199">
        <f t="shared" si="10"/>
        <v>104.07837181044957</v>
      </c>
      <c r="S90" s="199">
        <f t="shared" si="32"/>
        <v>0.38063785041045106</v>
      </c>
    </row>
    <row r="91" spans="1:19" ht="30" customHeight="1" x14ac:dyDescent="0.2">
      <c r="A91" s="201" t="s">
        <v>377</v>
      </c>
      <c r="B91" s="213" t="s">
        <v>305</v>
      </c>
      <c r="C91" s="213" t="s">
        <v>318</v>
      </c>
      <c r="D91" s="213" t="s">
        <v>409</v>
      </c>
      <c r="E91" s="197">
        <v>120</v>
      </c>
      <c r="F91" s="197"/>
      <c r="G91" s="198">
        <v>493.8</v>
      </c>
      <c r="H91" s="198">
        <f>'[4]приложение №3 (5) 2022г.'!G68</f>
        <v>513.93899999999996</v>
      </c>
      <c r="I91" s="198">
        <f>I92+I93+I94</f>
        <v>513.93866000000003</v>
      </c>
      <c r="J91" s="198">
        <f>J92+J93+J94</f>
        <v>513.93956000000003</v>
      </c>
      <c r="K91" s="199">
        <f t="shared" si="3"/>
        <v>-3.3999999993739038E-4</v>
      </c>
      <c r="L91" s="199">
        <f t="shared" si="4"/>
        <v>99.999933844288918</v>
      </c>
      <c r="M91" s="199">
        <f t="shared" si="5"/>
        <v>9.0000000000145519E-4</v>
      </c>
      <c r="N91" s="199">
        <f t="shared" si="6"/>
        <v>100.00017511817461</v>
      </c>
      <c r="O91" s="199">
        <f t="shared" si="7"/>
        <v>104.07848521668693</v>
      </c>
      <c r="P91" s="199">
        <f t="shared" si="8"/>
        <v>100.00010896234768</v>
      </c>
      <c r="Q91" s="199">
        <f t="shared" si="9"/>
        <v>20.138999999999953</v>
      </c>
      <c r="R91" s="199">
        <f t="shared" si="10"/>
        <v>104.07837181044957</v>
      </c>
      <c r="S91" s="199">
        <f t="shared" si="32"/>
        <v>0.38063785041045106</v>
      </c>
    </row>
    <row r="92" spans="1:19" ht="18.75" customHeight="1" x14ac:dyDescent="0.2">
      <c r="A92" s="201"/>
      <c r="B92" s="213" t="s">
        <v>305</v>
      </c>
      <c r="C92" s="213" t="s">
        <v>318</v>
      </c>
      <c r="D92" s="213" t="s">
        <v>409</v>
      </c>
      <c r="E92" s="197">
        <v>121</v>
      </c>
      <c r="F92" s="197">
        <v>211</v>
      </c>
      <c r="G92" s="198"/>
      <c r="H92" s="198"/>
      <c r="I92" s="198">
        <v>394.01740000000001</v>
      </c>
      <c r="J92" s="198">
        <v>394.01740000000001</v>
      </c>
      <c r="K92" s="199"/>
      <c r="L92" s="199"/>
      <c r="M92" s="199"/>
      <c r="N92" s="199"/>
      <c r="O92" s="199"/>
      <c r="P92" s="199"/>
      <c r="Q92" s="199"/>
      <c r="R92" s="199"/>
      <c r="S92" s="199"/>
    </row>
    <row r="93" spans="1:19" ht="21.75" customHeight="1" x14ac:dyDescent="0.2">
      <c r="A93" s="201"/>
      <c r="B93" s="213" t="s">
        <v>305</v>
      </c>
      <c r="C93" s="213" t="s">
        <v>318</v>
      </c>
      <c r="D93" s="213" t="s">
        <v>409</v>
      </c>
      <c r="E93" s="197">
        <v>121</v>
      </c>
      <c r="F93" s="197">
        <v>266</v>
      </c>
      <c r="G93" s="198"/>
      <c r="H93" s="198"/>
      <c r="I93" s="198">
        <v>4.0019999999999998</v>
      </c>
      <c r="J93" s="198">
        <v>4.0029000000000003</v>
      </c>
      <c r="K93" s="199"/>
      <c r="L93" s="199"/>
      <c r="M93" s="199"/>
      <c r="N93" s="199"/>
      <c r="O93" s="199"/>
      <c r="P93" s="199"/>
      <c r="Q93" s="199"/>
      <c r="R93" s="199"/>
      <c r="S93" s="199"/>
    </row>
    <row r="94" spans="1:19" ht="21" customHeight="1" x14ac:dyDescent="0.2">
      <c r="A94" s="201"/>
      <c r="B94" s="213" t="s">
        <v>305</v>
      </c>
      <c r="C94" s="213" t="s">
        <v>318</v>
      </c>
      <c r="D94" s="213" t="s">
        <v>409</v>
      </c>
      <c r="E94" s="197">
        <v>129</v>
      </c>
      <c r="F94" s="197">
        <v>213</v>
      </c>
      <c r="G94" s="198"/>
      <c r="H94" s="198"/>
      <c r="I94" s="198">
        <v>115.91925999999999</v>
      </c>
      <c r="J94" s="198">
        <v>115.91925999999999</v>
      </c>
      <c r="K94" s="199"/>
      <c r="L94" s="199"/>
      <c r="M94" s="199"/>
      <c r="N94" s="199"/>
      <c r="O94" s="199"/>
      <c r="P94" s="199"/>
      <c r="Q94" s="199"/>
      <c r="R94" s="199"/>
      <c r="S94" s="199"/>
    </row>
    <row r="95" spans="1:19" s="204" customFormat="1" ht="29.25" customHeight="1" x14ac:dyDescent="0.3">
      <c r="A95" s="201" t="s">
        <v>404</v>
      </c>
      <c r="B95" s="127">
        <v>2</v>
      </c>
      <c r="C95" s="195">
        <v>3</v>
      </c>
      <c r="D95" s="196" t="s">
        <v>409</v>
      </c>
      <c r="E95" s="197">
        <v>200</v>
      </c>
      <c r="F95" s="197"/>
      <c r="G95" s="198">
        <f t="shared" ref="G95:J95" si="38">G96</f>
        <v>0</v>
      </c>
      <c r="H95" s="198">
        <f>H96</f>
        <v>55.904000000000003</v>
      </c>
      <c r="I95" s="198">
        <f t="shared" si="38"/>
        <v>55.905000000000001</v>
      </c>
      <c r="J95" s="198">
        <f t="shared" si="38"/>
        <v>55.905000000000001</v>
      </c>
      <c r="K95" s="199">
        <f t="shared" si="3"/>
        <v>9.9999999999766942E-4</v>
      </c>
      <c r="L95" s="199">
        <f t="shared" si="4"/>
        <v>100.00178878076701</v>
      </c>
      <c r="M95" s="199">
        <f t="shared" si="5"/>
        <v>0</v>
      </c>
      <c r="N95" s="199">
        <f t="shared" si="6"/>
        <v>100</v>
      </c>
      <c r="O95" s="199"/>
      <c r="P95" s="199">
        <f t="shared" si="8"/>
        <v>100.00178878076701</v>
      </c>
      <c r="Q95" s="199">
        <f t="shared" si="9"/>
        <v>55.904000000000003</v>
      </c>
      <c r="R95" s="199"/>
      <c r="S95" s="199">
        <f>J95/$J$355*100</f>
        <v>4.1404788974011397E-2</v>
      </c>
    </row>
    <row r="96" spans="1:19" s="204" customFormat="1" ht="34.950000000000003" customHeight="1" x14ac:dyDescent="0.3">
      <c r="A96" s="201" t="s">
        <v>395</v>
      </c>
      <c r="B96" s="127">
        <v>2</v>
      </c>
      <c r="C96" s="195">
        <v>3</v>
      </c>
      <c r="D96" s="196" t="s">
        <v>409</v>
      </c>
      <c r="E96" s="197">
        <v>240</v>
      </c>
      <c r="F96" s="197"/>
      <c r="G96" s="198"/>
      <c r="H96" s="198">
        <f>'[4]приложение №3 (5) 2022г.'!G70</f>
        <v>55.904000000000003</v>
      </c>
      <c r="I96" s="198">
        <f>I97</f>
        <v>55.905000000000001</v>
      </c>
      <c r="J96" s="198">
        <f>J97</f>
        <v>55.905000000000001</v>
      </c>
      <c r="K96" s="199">
        <f t="shared" si="3"/>
        <v>9.9999999999766942E-4</v>
      </c>
      <c r="L96" s="199">
        <f t="shared" si="4"/>
        <v>100.00178878076701</v>
      </c>
      <c r="M96" s="199">
        <f t="shared" si="5"/>
        <v>0</v>
      </c>
      <c r="N96" s="199">
        <f t="shared" si="6"/>
        <v>100</v>
      </c>
      <c r="O96" s="199"/>
      <c r="P96" s="199">
        <f t="shared" si="8"/>
        <v>100.00178878076701</v>
      </c>
      <c r="Q96" s="199">
        <f t="shared" si="9"/>
        <v>55.904000000000003</v>
      </c>
      <c r="R96" s="199"/>
      <c r="S96" s="199">
        <f>J96/$J$355*100</f>
        <v>4.1404788974011397E-2</v>
      </c>
    </row>
    <row r="97" spans="1:19" s="204" customFormat="1" ht="18.75" customHeight="1" x14ac:dyDescent="0.3">
      <c r="A97" s="201"/>
      <c r="B97" s="127">
        <v>2</v>
      </c>
      <c r="C97" s="195">
        <v>3</v>
      </c>
      <c r="D97" s="196" t="s">
        <v>409</v>
      </c>
      <c r="E97" s="197">
        <v>244</v>
      </c>
      <c r="F97" s="197">
        <v>346</v>
      </c>
      <c r="G97" s="198"/>
      <c r="H97" s="198"/>
      <c r="I97" s="198">
        <v>55.905000000000001</v>
      </c>
      <c r="J97" s="198">
        <v>55.905000000000001</v>
      </c>
      <c r="K97" s="199"/>
      <c r="L97" s="199"/>
      <c r="M97" s="199"/>
      <c r="N97" s="199"/>
      <c r="O97" s="199"/>
      <c r="P97" s="199"/>
      <c r="Q97" s="199"/>
      <c r="R97" s="199"/>
      <c r="S97" s="199"/>
    </row>
    <row r="98" spans="1:19" ht="30.75" customHeight="1" x14ac:dyDescent="0.2">
      <c r="A98" s="126" t="s">
        <v>410</v>
      </c>
      <c r="B98" s="127">
        <v>2</v>
      </c>
      <c r="C98" s="195">
        <v>3</v>
      </c>
      <c r="D98" s="197" t="s">
        <v>411</v>
      </c>
      <c r="E98" s="197"/>
      <c r="F98" s="197"/>
      <c r="G98" s="198">
        <f t="shared" ref="G98:J100" si="39">G99</f>
        <v>0</v>
      </c>
      <c r="H98" s="198">
        <f>H99</f>
        <v>29.417000000000002</v>
      </c>
      <c r="I98" s="198">
        <f t="shared" si="39"/>
        <v>29.417999999999999</v>
      </c>
      <c r="J98" s="198">
        <f t="shared" si="39"/>
        <v>29.417999999999999</v>
      </c>
      <c r="K98" s="199">
        <f t="shared" si="3"/>
        <v>9.9999999999766942E-4</v>
      </c>
      <c r="L98" s="199">
        <f t="shared" si="4"/>
        <v>100.0033993949077</v>
      </c>
      <c r="M98" s="199">
        <f t="shared" si="5"/>
        <v>0</v>
      </c>
      <c r="N98" s="199">
        <f t="shared" si="6"/>
        <v>100</v>
      </c>
      <c r="O98" s="199"/>
      <c r="P98" s="199">
        <f t="shared" si="8"/>
        <v>100.0033993949077</v>
      </c>
      <c r="Q98" s="199">
        <f t="shared" si="9"/>
        <v>29.417000000000002</v>
      </c>
      <c r="R98" s="199"/>
      <c r="S98" s="199">
        <f>J98/$J$355*100</f>
        <v>2.1787784313343477E-2</v>
      </c>
    </row>
    <row r="99" spans="1:19" ht="61.2" x14ac:dyDescent="0.2">
      <c r="A99" s="126" t="s">
        <v>412</v>
      </c>
      <c r="B99" s="127">
        <v>2</v>
      </c>
      <c r="C99" s="195">
        <v>3</v>
      </c>
      <c r="D99" s="197" t="s">
        <v>413</v>
      </c>
      <c r="E99" s="197"/>
      <c r="F99" s="197"/>
      <c r="G99" s="198">
        <f t="shared" si="39"/>
        <v>0</v>
      </c>
      <c r="H99" s="198">
        <f t="shared" si="39"/>
        <v>29.417000000000002</v>
      </c>
      <c r="I99" s="198">
        <f>I100+I102</f>
        <v>29.417999999999999</v>
      </c>
      <c r="J99" s="198">
        <f>J100+J102</f>
        <v>29.417999999999999</v>
      </c>
      <c r="K99" s="199">
        <f t="shared" si="3"/>
        <v>9.9999999999766942E-4</v>
      </c>
      <c r="L99" s="199">
        <f t="shared" si="4"/>
        <v>100.0033993949077</v>
      </c>
      <c r="M99" s="199">
        <f t="shared" si="5"/>
        <v>0</v>
      </c>
      <c r="N99" s="199">
        <f t="shared" si="6"/>
        <v>100</v>
      </c>
      <c r="O99" s="199"/>
      <c r="P99" s="199">
        <f t="shared" si="8"/>
        <v>100.0033993949077</v>
      </c>
      <c r="Q99" s="199">
        <f t="shared" si="9"/>
        <v>29.417000000000002</v>
      </c>
      <c r="R99" s="199"/>
      <c r="S99" s="199">
        <f>J99/$J$355*100</f>
        <v>2.1787784313343477E-2</v>
      </c>
    </row>
    <row r="100" spans="1:19" ht="61.5" customHeight="1" x14ac:dyDescent="0.2">
      <c r="A100" s="201" t="s">
        <v>376</v>
      </c>
      <c r="B100" s="127">
        <v>2</v>
      </c>
      <c r="C100" s="195">
        <v>3</v>
      </c>
      <c r="D100" s="196" t="s">
        <v>413</v>
      </c>
      <c r="E100" s="197">
        <v>100</v>
      </c>
      <c r="F100" s="197"/>
      <c r="G100" s="198">
        <f t="shared" si="39"/>
        <v>0</v>
      </c>
      <c r="H100" s="198">
        <f t="shared" si="39"/>
        <v>29.417000000000002</v>
      </c>
      <c r="I100" s="198">
        <f t="shared" si="39"/>
        <v>0</v>
      </c>
      <c r="J100" s="198">
        <f t="shared" si="39"/>
        <v>0</v>
      </c>
      <c r="K100" s="199">
        <f t="shared" si="3"/>
        <v>-29.417000000000002</v>
      </c>
      <c r="L100" s="199">
        <f t="shared" si="4"/>
        <v>0</v>
      </c>
      <c r="M100" s="199">
        <f t="shared" si="5"/>
        <v>0</v>
      </c>
      <c r="N100" s="199"/>
      <c r="O100" s="199"/>
      <c r="P100" s="199">
        <f t="shared" si="8"/>
        <v>0</v>
      </c>
      <c r="Q100" s="199">
        <f t="shared" si="9"/>
        <v>29.417000000000002</v>
      </c>
      <c r="R100" s="199"/>
      <c r="S100" s="199">
        <f>J100/$J$355*100</f>
        <v>0</v>
      </c>
    </row>
    <row r="101" spans="1:19" ht="28.5" customHeight="1" x14ac:dyDescent="0.2">
      <c r="A101" s="201" t="s">
        <v>377</v>
      </c>
      <c r="B101" s="127">
        <v>2</v>
      </c>
      <c r="C101" s="195">
        <v>3</v>
      </c>
      <c r="D101" s="196" t="s">
        <v>413</v>
      </c>
      <c r="E101" s="197">
        <v>120</v>
      </c>
      <c r="F101" s="197"/>
      <c r="G101" s="198"/>
      <c r="H101" s="198">
        <f>'[4]приложение №3 (5) 2022г.'!G74</f>
        <v>29.417000000000002</v>
      </c>
      <c r="I101" s="198">
        <f>'[4]приложение №3 (5) 2022г.'!H74</f>
        <v>0</v>
      </c>
      <c r="J101" s="198">
        <f>'[4]приложение №3 (5) 2022г.'!I74</f>
        <v>0</v>
      </c>
      <c r="K101" s="199">
        <f t="shared" si="3"/>
        <v>-29.417000000000002</v>
      </c>
      <c r="L101" s="199">
        <f t="shared" si="4"/>
        <v>0</v>
      </c>
      <c r="M101" s="199">
        <f t="shared" si="5"/>
        <v>0</v>
      </c>
      <c r="N101" s="199"/>
      <c r="O101" s="199"/>
      <c r="P101" s="199">
        <f t="shared" si="8"/>
        <v>0</v>
      </c>
      <c r="Q101" s="199">
        <f t="shared" si="9"/>
        <v>29.417000000000002</v>
      </c>
      <c r="R101" s="199"/>
      <c r="S101" s="199">
        <f>J101/$J$355*100</f>
        <v>0</v>
      </c>
    </row>
    <row r="102" spans="1:19" ht="28.5" customHeight="1" x14ac:dyDescent="0.2">
      <c r="A102" s="201"/>
      <c r="B102" s="127">
        <v>2</v>
      </c>
      <c r="C102" s="195">
        <v>3</v>
      </c>
      <c r="D102" s="196" t="s">
        <v>413</v>
      </c>
      <c r="E102" s="197">
        <v>244</v>
      </c>
      <c r="F102" s="197">
        <v>226</v>
      </c>
      <c r="G102" s="198"/>
      <c r="H102" s="198"/>
      <c r="I102" s="198">
        <v>29.417999999999999</v>
      </c>
      <c r="J102" s="198">
        <v>29.417999999999999</v>
      </c>
      <c r="K102" s="199"/>
      <c r="L102" s="199"/>
      <c r="M102" s="199"/>
      <c r="N102" s="199"/>
      <c r="O102" s="199"/>
      <c r="P102" s="199"/>
      <c r="Q102" s="199"/>
      <c r="R102" s="199"/>
      <c r="S102" s="199"/>
    </row>
    <row r="103" spans="1:19" s="188" customFormat="1" ht="30.75" customHeight="1" x14ac:dyDescent="0.25">
      <c r="A103" s="181" t="s">
        <v>319</v>
      </c>
      <c r="B103" s="214">
        <v>3</v>
      </c>
      <c r="C103" s="211"/>
      <c r="D103" s="185"/>
      <c r="E103" s="185"/>
      <c r="F103" s="185"/>
      <c r="G103" s="186">
        <f>G104+G118+G133+G117</f>
        <v>904.89999999999986</v>
      </c>
      <c r="H103" s="186">
        <f>H104+H118+H133</f>
        <v>1027.6200000000001</v>
      </c>
      <c r="I103" s="186">
        <f t="shared" ref="I103:J103" si="40">I104+I118+I133</f>
        <v>1027.6138699999999</v>
      </c>
      <c r="J103" s="186">
        <f t="shared" si="40"/>
        <v>1024.77187</v>
      </c>
      <c r="K103" s="187">
        <f t="shared" si="3"/>
        <v>-6.1300000002120214E-3</v>
      </c>
      <c r="L103" s="187">
        <f t="shared" si="4"/>
        <v>99.999403475993049</v>
      </c>
      <c r="M103" s="187">
        <f t="shared" si="5"/>
        <v>-2.8419999999998709</v>
      </c>
      <c r="N103" s="187">
        <f t="shared" si="6"/>
        <v>99.723436975407907</v>
      </c>
      <c r="O103" s="187">
        <f t="shared" si="7"/>
        <v>113.24697425129851</v>
      </c>
      <c r="P103" s="187">
        <f t="shared" si="8"/>
        <v>99.722842101165782</v>
      </c>
      <c r="Q103" s="187">
        <f t="shared" si="9"/>
        <v>122.72000000000025</v>
      </c>
      <c r="R103" s="187">
        <f t="shared" si="10"/>
        <v>113.56171952701959</v>
      </c>
      <c r="S103" s="187">
        <f t="shared" ref="S103:S109" si="41">J103/$J$355*100</f>
        <v>0.7589743855442812</v>
      </c>
    </row>
    <row r="104" spans="1:19" s="188" customFormat="1" ht="18" customHeight="1" x14ac:dyDescent="0.25">
      <c r="A104" s="189" t="s">
        <v>320</v>
      </c>
      <c r="B104" s="190" t="s">
        <v>318</v>
      </c>
      <c r="C104" s="191" t="s">
        <v>307</v>
      </c>
      <c r="D104" s="193"/>
      <c r="E104" s="193"/>
      <c r="F104" s="193"/>
      <c r="G104" s="194">
        <f t="shared" ref="G104:J105" si="42">G105</f>
        <v>113.19999999999999</v>
      </c>
      <c r="H104" s="194">
        <f t="shared" si="42"/>
        <v>113.19999999999999</v>
      </c>
      <c r="I104" s="194">
        <f t="shared" si="42"/>
        <v>113.19987</v>
      </c>
      <c r="J104" s="194">
        <f t="shared" si="42"/>
        <v>113.19987</v>
      </c>
      <c r="K104" s="187">
        <f t="shared" si="3"/>
        <v>-1.2999999998442036E-4</v>
      </c>
      <c r="L104" s="187">
        <f t="shared" si="4"/>
        <v>99.999885159010617</v>
      </c>
      <c r="M104" s="187">
        <f t="shared" si="5"/>
        <v>0</v>
      </c>
      <c r="N104" s="187">
        <f t="shared" si="6"/>
        <v>100</v>
      </c>
      <c r="O104" s="187">
        <f t="shared" si="7"/>
        <v>99.999885159010617</v>
      </c>
      <c r="P104" s="187">
        <f t="shared" si="8"/>
        <v>99.999885159010617</v>
      </c>
      <c r="Q104" s="187">
        <f t="shared" si="9"/>
        <v>0</v>
      </c>
      <c r="R104" s="187">
        <f t="shared" si="10"/>
        <v>100</v>
      </c>
      <c r="S104" s="187">
        <f t="shared" si="41"/>
        <v>8.3838954104919469E-2</v>
      </c>
    </row>
    <row r="105" spans="1:19" s="215" customFormat="1" ht="21.75" customHeight="1" x14ac:dyDescent="0.2">
      <c r="A105" s="126" t="s">
        <v>370</v>
      </c>
      <c r="B105" s="127" t="s">
        <v>318</v>
      </c>
      <c r="C105" s="195" t="s">
        <v>307</v>
      </c>
      <c r="D105" s="196" t="s">
        <v>371</v>
      </c>
      <c r="E105" s="197"/>
      <c r="F105" s="197"/>
      <c r="G105" s="198">
        <f t="shared" si="42"/>
        <v>113.19999999999999</v>
      </c>
      <c r="H105" s="198">
        <f t="shared" si="42"/>
        <v>113.19999999999999</v>
      </c>
      <c r="I105" s="198">
        <f t="shared" si="42"/>
        <v>113.19987</v>
      </c>
      <c r="J105" s="198">
        <f t="shared" si="42"/>
        <v>113.19987</v>
      </c>
      <c r="K105" s="199">
        <f t="shared" si="3"/>
        <v>-1.2999999998442036E-4</v>
      </c>
      <c r="L105" s="199">
        <f t="shared" si="4"/>
        <v>99.999885159010617</v>
      </c>
      <c r="M105" s="199">
        <f t="shared" si="5"/>
        <v>0</v>
      </c>
      <c r="N105" s="199">
        <f t="shared" si="6"/>
        <v>100</v>
      </c>
      <c r="O105" s="199">
        <f t="shared" si="7"/>
        <v>99.999885159010617</v>
      </c>
      <c r="P105" s="199">
        <f t="shared" si="8"/>
        <v>99.999885159010617</v>
      </c>
      <c r="Q105" s="199">
        <f t="shared" si="9"/>
        <v>0</v>
      </c>
      <c r="R105" s="199">
        <f t="shared" si="10"/>
        <v>100</v>
      </c>
      <c r="S105" s="199">
        <f t="shared" si="41"/>
        <v>8.3838954104919469E-2</v>
      </c>
    </row>
    <row r="106" spans="1:19" s="215" customFormat="1" ht="37.5" customHeight="1" x14ac:dyDescent="0.2">
      <c r="A106" s="126" t="s">
        <v>396</v>
      </c>
      <c r="B106" s="127" t="s">
        <v>318</v>
      </c>
      <c r="C106" s="195" t="s">
        <v>307</v>
      </c>
      <c r="D106" s="196" t="s">
        <v>373</v>
      </c>
      <c r="E106" s="197"/>
      <c r="F106" s="197"/>
      <c r="G106" s="198">
        <f t="shared" ref="G106:J106" si="43">G107+G112</f>
        <v>113.19999999999999</v>
      </c>
      <c r="H106" s="198">
        <f>H107+H112</f>
        <v>113.19999999999999</v>
      </c>
      <c r="I106" s="198">
        <f t="shared" si="43"/>
        <v>113.19987</v>
      </c>
      <c r="J106" s="198">
        <f t="shared" si="43"/>
        <v>113.19987</v>
      </c>
      <c r="K106" s="199">
        <f t="shared" si="3"/>
        <v>-1.2999999998442036E-4</v>
      </c>
      <c r="L106" s="199">
        <f t="shared" si="4"/>
        <v>99.999885159010617</v>
      </c>
      <c r="M106" s="199">
        <f t="shared" si="5"/>
        <v>0</v>
      </c>
      <c r="N106" s="199">
        <f t="shared" si="6"/>
        <v>100</v>
      </c>
      <c r="O106" s="199">
        <f t="shared" si="7"/>
        <v>99.999885159010617</v>
      </c>
      <c r="P106" s="199">
        <f t="shared" si="8"/>
        <v>99.999885159010617</v>
      </c>
      <c r="Q106" s="199">
        <f t="shared" si="9"/>
        <v>0</v>
      </c>
      <c r="R106" s="199">
        <f t="shared" si="10"/>
        <v>100</v>
      </c>
      <c r="S106" s="199">
        <f t="shared" si="41"/>
        <v>8.3838954104919469E-2</v>
      </c>
    </row>
    <row r="107" spans="1:19" s="215" customFormat="1" ht="43.5" customHeight="1" x14ac:dyDescent="0.2">
      <c r="A107" s="216" t="s">
        <v>414</v>
      </c>
      <c r="B107" s="127" t="s">
        <v>318</v>
      </c>
      <c r="C107" s="195" t="s">
        <v>307</v>
      </c>
      <c r="D107" s="217" t="s">
        <v>415</v>
      </c>
      <c r="E107" s="197"/>
      <c r="F107" s="197"/>
      <c r="G107" s="198">
        <f t="shared" ref="G107:J108" si="44">G108</f>
        <v>86.6</v>
      </c>
      <c r="H107" s="198">
        <f t="shared" si="44"/>
        <v>86.6</v>
      </c>
      <c r="I107" s="198">
        <f t="shared" si="44"/>
        <v>86.599970000000013</v>
      </c>
      <c r="J107" s="198">
        <f t="shared" si="44"/>
        <v>86.599970000000013</v>
      </c>
      <c r="K107" s="199">
        <f t="shared" si="3"/>
        <v>-2.99999999811007E-5</v>
      </c>
      <c r="L107" s="199">
        <f t="shared" si="4"/>
        <v>99.999965357967696</v>
      </c>
      <c r="M107" s="199">
        <f t="shared" si="5"/>
        <v>0</v>
      </c>
      <c r="N107" s="199">
        <f t="shared" si="6"/>
        <v>100</v>
      </c>
      <c r="O107" s="199">
        <f t="shared" si="7"/>
        <v>99.999965357967696</v>
      </c>
      <c r="P107" s="199">
        <f t="shared" si="8"/>
        <v>99.999965357967696</v>
      </c>
      <c r="Q107" s="199">
        <f t="shared" si="9"/>
        <v>0</v>
      </c>
      <c r="R107" s="199">
        <f t="shared" si="10"/>
        <v>100</v>
      </c>
      <c r="S107" s="199">
        <f t="shared" si="41"/>
        <v>6.4138332582161131E-2</v>
      </c>
    </row>
    <row r="108" spans="1:19" s="215" customFormat="1" ht="59.25" customHeight="1" x14ac:dyDescent="0.2">
      <c r="A108" s="201" t="s">
        <v>376</v>
      </c>
      <c r="B108" s="127" t="s">
        <v>318</v>
      </c>
      <c r="C108" s="195" t="s">
        <v>307</v>
      </c>
      <c r="D108" s="218" t="s">
        <v>415</v>
      </c>
      <c r="E108" s="197">
        <v>100</v>
      </c>
      <c r="F108" s="197"/>
      <c r="G108" s="198">
        <f t="shared" si="44"/>
        <v>86.6</v>
      </c>
      <c r="H108" s="198">
        <f t="shared" si="44"/>
        <v>86.6</v>
      </c>
      <c r="I108" s="198">
        <f t="shared" si="44"/>
        <v>86.599970000000013</v>
      </c>
      <c r="J108" s="198">
        <f t="shared" si="44"/>
        <v>86.599970000000013</v>
      </c>
      <c r="K108" s="199">
        <f t="shared" si="3"/>
        <v>-2.99999999811007E-5</v>
      </c>
      <c r="L108" s="199">
        <f t="shared" si="4"/>
        <v>99.999965357967696</v>
      </c>
      <c r="M108" s="199">
        <f t="shared" si="5"/>
        <v>0</v>
      </c>
      <c r="N108" s="199">
        <f t="shared" si="6"/>
        <v>100</v>
      </c>
      <c r="O108" s="199">
        <f t="shared" si="7"/>
        <v>99.999965357967696</v>
      </c>
      <c r="P108" s="199">
        <f t="shared" si="8"/>
        <v>99.999965357967696</v>
      </c>
      <c r="Q108" s="199">
        <f t="shared" si="9"/>
        <v>0</v>
      </c>
      <c r="R108" s="199">
        <f t="shared" si="10"/>
        <v>100</v>
      </c>
      <c r="S108" s="199">
        <f t="shared" si="41"/>
        <v>6.4138332582161131E-2</v>
      </c>
    </row>
    <row r="109" spans="1:19" s="215" customFormat="1" ht="27.75" customHeight="1" x14ac:dyDescent="0.2">
      <c r="A109" s="201" t="s">
        <v>377</v>
      </c>
      <c r="B109" s="127" t="s">
        <v>318</v>
      </c>
      <c r="C109" s="195" t="s">
        <v>307</v>
      </c>
      <c r="D109" s="219" t="s">
        <v>415</v>
      </c>
      <c r="E109" s="197">
        <v>120</v>
      </c>
      <c r="F109" s="197"/>
      <c r="G109" s="198">
        <v>86.6</v>
      </c>
      <c r="H109" s="198">
        <f>'[4]приложение №3 (5) 2022г.'!G81</f>
        <v>86.6</v>
      </c>
      <c r="I109" s="198">
        <f>I110+I111</f>
        <v>86.599970000000013</v>
      </c>
      <c r="J109" s="198">
        <f>J110+J111</f>
        <v>86.599970000000013</v>
      </c>
      <c r="K109" s="199">
        <f t="shared" si="3"/>
        <v>-2.99999999811007E-5</v>
      </c>
      <c r="L109" s="199">
        <f t="shared" si="4"/>
        <v>99.999965357967696</v>
      </c>
      <c r="M109" s="199">
        <f t="shared" si="5"/>
        <v>0</v>
      </c>
      <c r="N109" s="199">
        <f t="shared" si="6"/>
        <v>100</v>
      </c>
      <c r="O109" s="199">
        <f t="shared" si="7"/>
        <v>99.999965357967696</v>
      </c>
      <c r="P109" s="199">
        <f t="shared" si="8"/>
        <v>99.999965357967696</v>
      </c>
      <c r="Q109" s="199">
        <f t="shared" si="9"/>
        <v>0</v>
      </c>
      <c r="R109" s="199">
        <f t="shared" si="10"/>
        <v>100</v>
      </c>
      <c r="S109" s="199">
        <f t="shared" si="41"/>
        <v>6.4138332582161131E-2</v>
      </c>
    </row>
    <row r="110" spans="1:19" s="215" customFormat="1" ht="22.5" customHeight="1" x14ac:dyDescent="0.2">
      <c r="A110" s="201"/>
      <c r="B110" s="127" t="s">
        <v>318</v>
      </c>
      <c r="C110" s="195" t="s">
        <v>307</v>
      </c>
      <c r="D110" s="219" t="s">
        <v>415</v>
      </c>
      <c r="E110" s="197">
        <v>121</v>
      </c>
      <c r="F110" s="197">
        <v>211</v>
      </c>
      <c r="G110" s="198"/>
      <c r="H110" s="198"/>
      <c r="I110" s="198">
        <v>66.513000000000005</v>
      </c>
      <c r="J110" s="198">
        <v>66.513000000000005</v>
      </c>
      <c r="K110" s="199"/>
      <c r="L110" s="199"/>
      <c r="M110" s="199"/>
      <c r="N110" s="199"/>
      <c r="O110" s="199"/>
      <c r="P110" s="199"/>
      <c r="Q110" s="199"/>
      <c r="R110" s="199"/>
      <c r="S110" s="199"/>
    </row>
    <row r="111" spans="1:19" s="215" customFormat="1" ht="21" customHeight="1" x14ac:dyDescent="0.2">
      <c r="A111" s="201"/>
      <c r="B111" s="127" t="s">
        <v>318</v>
      </c>
      <c r="C111" s="195" t="s">
        <v>307</v>
      </c>
      <c r="D111" s="219" t="s">
        <v>415</v>
      </c>
      <c r="E111" s="197">
        <v>129</v>
      </c>
      <c r="F111" s="197">
        <v>213</v>
      </c>
      <c r="G111" s="198"/>
      <c r="H111" s="198"/>
      <c r="I111" s="198">
        <v>20.086970000000001</v>
      </c>
      <c r="J111" s="198">
        <v>20.086970000000001</v>
      </c>
      <c r="K111" s="199"/>
      <c r="L111" s="199"/>
      <c r="M111" s="199"/>
      <c r="N111" s="199"/>
      <c r="O111" s="199"/>
      <c r="P111" s="199"/>
      <c r="Q111" s="199"/>
      <c r="R111" s="199"/>
      <c r="S111" s="199"/>
    </row>
    <row r="112" spans="1:19" s="215" customFormat="1" ht="56.25" customHeight="1" x14ac:dyDescent="0.2">
      <c r="A112" s="216" t="s">
        <v>416</v>
      </c>
      <c r="B112" s="127" t="s">
        <v>318</v>
      </c>
      <c r="C112" s="195" t="s">
        <v>307</v>
      </c>
      <c r="D112" s="217" t="s">
        <v>417</v>
      </c>
      <c r="E112" s="197"/>
      <c r="F112" s="197"/>
      <c r="G112" s="198">
        <f t="shared" ref="G112:J112" si="45">G113</f>
        <v>26.6</v>
      </c>
      <c r="H112" s="198">
        <f t="shared" si="45"/>
        <v>26.6</v>
      </c>
      <c r="I112" s="198">
        <f t="shared" si="45"/>
        <v>26.599899999999998</v>
      </c>
      <c r="J112" s="198">
        <f t="shared" si="45"/>
        <v>26.599899999999998</v>
      </c>
      <c r="K112" s="199">
        <f t="shared" si="3"/>
        <v>-1.0000000000331966E-4</v>
      </c>
      <c r="L112" s="199">
        <f t="shared" si="4"/>
        <v>99.999624060150367</v>
      </c>
      <c r="M112" s="199">
        <f t="shared" si="5"/>
        <v>0</v>
      </c>
      <c r="N112" s="199">
        <f t="shared" si="6"/>
        <v>100</v>
      </c>
      <c r="O112" s="199">
        <f t="shared" si="7"/>
        <v>99.999624060150367</v>
      </c>
      <c r="P112" s="199">
        <f t="shared" si="8"/>
        <v>99.999624060150367</v>
      </c>
      <c r="Q112" s="199">
        <f t="shared" si="9"/>
        <v>0</v>
      </c>
      <c r="R112" s="199">
        <f t="shared" si="10"/>
        <v>100</v>
      </c>
      <c r="S112" s="199">
        <f>J112/$J$355*100</f>
        <v>1.9700621522758352E-2</v>
      </c>
    </row>
    <row r="113" spans="1:19" s="215" customFormat="1" ht="65.25" customHeight="1" x14ac:dyDescent="0.2">
      <c r="A113" s="201" t="s">
        <v>376</v>
      </c>
      <c r="B113" s="127" t="s">
        <v>318</v>
      </c>
      <c r="C113" s="195" t="s">
        <v>307</v>
      </c>
      <c r="D113" s="218" t="s">
        <v>417</v>
      </c>
      <c r="E113" s="197">
        <v>100</v>
      </c>
      <c r="F113" s="197"/>
      <c r="G113" s="198">
        <f>G116</f>
        <v>26.6</v>
      </c>
      <c r="H113" s="198">
        <f>H116</f>
        <v>26.6</v>
      </c>
      <c r="I113" s="198">
        <f>I114+I115</f>
        <v>26.599899999999998</v>
      </c>
      <c r="J113" s="198">
        <f>J114+J115</f>
        <v>26.599899999999998</v>
      </c>
      <c r="K113" s="199">
        <f t="shared" si="3"/>
        <v>-1.0000000000331966E-4</v>
      </c>
      <c r="L113" s="199">
        <f t="shared" si="4"/>
        <v>99.999624060150367</v>
      </c>
      <c r="M113" s="199">
        <f t="shared" si="5"/>
        <v>0</v>
      </c>
      <c r="N113" s="199">
        <f t="shared" si="6"/>
        <v>100</v>
      </c>
      <c r="O113" s="199">
        <f t="shared" si="7"/>
        <v>99.999624060150367</v>
      </c>
      <c r="P113" s="199">
        <f t="shared" si="8"/>
        <v>99.999624060150367</v>
      </c>
      <c r="Q113" s="199">
        <f t="shared" si="9"/>
        <v>0</v>
      </c>
      <c r="R113" s="199">
        <f t="shared" si="10"/>
        <v>100</v>
      </c>
      <c r="S113" s="199">
        <f>J113/$J$355*100</f>
        <v>1.9700621522758352E-2</v>
      </c>
    </row>
    <row r="114" spans="1:19" s="215" customFormat="1" ht="24.75" customHeight="1" x14ac:dyDescent="0.2">
      <c r="A114" s="201"/>
      <c r="B114" s="127" t="s">
        <v>318</v>
      </c>
      <c r="C114" s="195" t="s">
        <v>307</v>
      </c>
      <c r="D114" s="218" t="s">
        <v>417</v>
      </c>
      <c r="E114" s="197">
        <v>121</v>
      </c>
      <c r="F114" s="197">
        <v>211</v>
      </c>
      <c r="G114" s="198"/>
      <c r="H114" s="198"/>
      <c r="I114" s="198">
        <v>20.43</v>
      </c>
      <c r="J114" s="198">
        <v>20.43</v>
      </c>
      <c r="K114" s="199"/>
      <c r="L114" s="199"/>
      <c r="M114" s="199"/>
      <c r="N114" s="199"/>
      <c r="O114" s="199"/>
      <c r="P114" s="199"/>
      <c r="Q114" s="199"/>
      <c r="R114" s="199"/>
      <c r="S114" s="199"/>
    </row>
    <row r="115" spans="1:19" s="215" customFormat="1" ht="23.25" customHeight="1" x14ac:dyDescent="0.2">
      <c r="A115" s="201"/>
      <c r="B115" s="127" t="s">
        <v>318</v>
      </c>
      <c r="C115" s="195" t="s">
        <v>307</v>
      </c>
      <c r="D115" s="218" t="s">
        <v>417</v>
      </c>
      <c r="E115" s="197">
        <v>129</v>
      </c>
      <c r="F115" s="197">
        <v>213</v>
      </c>
      <c r="G115" s="198"/>
      <c r="H115" s="198"/>
      <c r="I115" s="198">
        <v>6.1699000000000002</v>
      </c>
      <c r="J115" s="198">
        <v>6.1699000000000002</v>
      </c>
      <c r="K115" s="199"/>
      <c r="L115" s="199"/>
      <c r="M115" s="199"/>
      <c r="N115" s="199"/>
      <c r="O115" s="199"/>
      <c r="P115" s="199"/>
      <c r="Q115" s="199"/>
      <c r="R115" s="199"/>
      <c r="S115" s="199"/>
    </row>
    <row r="116" spans="1:19" s="215" customFormat="1" ht="33" customHeight="1" x14ac:dyDescent="0.2">
      <c r="A116" s="201" t="s">
        <v>377</v>
      </c>
      <c r="B116" s="127" t="s">
        <v>318</v>
      </c>
      <c r="C116" s="195" t="s">
        <v>307</v>
      </c>
      <c r="D116" s="219" t="s">
        <v>417</v>
      </c>
      <c r="E116" s="197">
        <v>120</v>
      </c>
      <c r="F116" s="197"/>
      <c r="G116" s="198">
        <v>26.6</v>
      </c>
      <c r="H116" s="198">
        <f>'[4]приложение №3 (5) 2022г.'!G84</f>
        <v>26.6</v>
      </c>
      <c r="I116" s="198">
        <v>26.6</v>
      </c>
      <c r="J116" s="198">
        <v>26.6</v>
      </c>
      <c r="K116" s="199">
        <f t="shared" ref="K116:K202" si="46">I116-H116</f>
        <v>0</v>
      </c>
      <c r="L116" s="199">
        <f>I116/H116*100</f>
        <v>100</v>
      </c>
      <c r="M116" s="199">
        <f t="shared" ref="M116:M202" si="47">J116-I116</f>
        <v>0</v>
      </c>
      <c r="N116" s="199"/>
      <c r="O116" s="199">
        <f t="shared" ref="O116:O202" si="48">J116/G116*100</f>
        <v>100</v>
      </c>
      <c r="P116" s="199">
        <f t="shared" ref="P116:P202" si="49">J116/H116*100</f>
        <v>100</v>
      </c>
      <c r="Q116" s="199">
        <f t="shared" ref="Q116:Q202" si="50">H116-G116</f>
        <v>0</v>
      </c>
      <c r="R116" s="199">
        <f t="shared" ref="R116:R202" si="51">H116/G116*100</f>
        <v>100</v>
      </c>
      <c r="S116" s="199">
        <f t="shared" ref="S116:S123" si="52">J116/$J$355*100</f>
        <v>1.970069558552371E-2</v>
      </c>
    </row>
    <row r="117" spans="1:19" s="188" customFormat="1" ht="21.75" customHeight="1" x14ac:dyDescent="0.25">
      <c r="A117" s="220"/>
      <c r="B117" s="221">
        <v>3</v>
      </c>
      <c r="C117" s="222">
        <v>9</v>
      </c>
      <c r="D117" s="223" t="s">
        <v>418</v>
      </c>
      <c r="E117" s="224">
        <v>240</v>
      </c>
      <c r="F117" s="224"/>
      <c r="G117" s="225">
        <v>132.69999999999999</v>
      </c>
      <c r="H117" s="225"/>
      <c r="I117" s="225"/>
      <c r="J117" s="225"/>
      <c r="K117" s="187">
        <f t="shared" si="46"/>
        <v>0</v>
      </c>
      <c r="L117" s="187"/>
      <c r="M117" s="187">
        <f t="shared" si="47"/>
        <v>0</v>
      </c>
      <c r="N117" s="187"/>
      <c r="O117" s="187">
        <f t="shared" si="48"/>
        <v>0</v>
      </c>
      <c r="P117" s="187"/>
      <c r="Q117" s="187">
        <f t="shared" si="50"/>
        <v>-132.69999999999999</v>
      </c>
      <c r="R117" s="187">
        <f t="shared" si="51"/>
        <v>0</v>
      </c>
      <c r="S117" s="187">
        <f t="shared" si="52"/>
        <v>0</v>
      </c>
    </row>
    <row r="118" spans="1:19" s="188" customFormat="1" ht="42.75" customHeight="1" x14ac:dyDescent="0.25">
      <c r="A118" s="226" t="s">
        <v>419</v>
      </c>
      <c r="B118" s="190">
        <v>3</v>
      </c>
      <c r="C118" s="191">
        <v>10</v>
      </c>
      <c r="D118" s="193"/>
      <c r="E118" s="193"/>
      <c r="F118" s="193"/>
      <c r="G118" s="194">
        <f t="shared" ref="G118:J119" si="53">G119</f>
        <v>568.4</v>
      </c>
      <c r="H118" s="194">
        <f>H119</f>
        <v>823.702</v>
      </c>
      <c r="I118" s="194">
        <f t="shared" si="53"/>
        <v>823.69599999999991</v>
      </c>
      <c r="J118" s="194">
        <f t="shared" si="53"/>
        <v>820.85399999999993</v>
      </c>
      <c r="K118" s="187">
        <f t="shared" si="46"/>
        <v>-6.0000000000854925E-3</v>
      </c>
      <c r="L118" s="187">
        <f t="shared" ref="L118:L202" si="54">I118/H118*100</f>
        <v>99.999271581227177</v>
      </c>
      <c r="M118" s="187">
        <f t="shared" si="47"/>
        <v>-2.8419999999999845</v>
      </c>
      <c r="N118" s="187">
        <f t="shared" ref="N118:N202" si="55">J118/I118*100</f>
        <v>99.654969794681534</v>
      </c>
      <c r="O118" s="187">
        <f t="shared" si="48"/>
        <v>144.41484869809992</v>
      </c>
      <c r="P118" s="187">
        <f t="shared" si="49"/>
        <v>99.6542438891735</v>
      </c>
      <c r="Q118" s="187">
        <f t="shared" si="50"/>
        <v>255.30200000000002</v>
      </c>
      <c r="R118" s="187">
        <f t="shared" si="51"/>
        <v>144.91590429275158</v>
      </c>
      <c r="S118" s="187">
        <f t="shared" si="52"/>
        <v>0.60794717196088266</v>
      </c>
    </row>
    <row r="119" spans="1:19" s="204" customFormat="1" ht="17.25" customHeight="1" x14ac:dyDescent="0.3">
      <c r="A119" s="126" t="s">
        <v>370</v>
      </c>
      <c r="B119" s="127" t="s">
        <v>318</v>
      </c>
      <c r="C119" s="195">
        <v>10</v>
      </c>
      <c r="D119" s="196" t="s">
        <v>371</v>
      </c>
      <c r="E119" s="197"/>
      <c r="F119" s="197"/>
      <c r="G119" s="198">
        <f t="shared" si="53"/>
        <v>568.4</v>
      </c>
      <c r="H119" s="198">
        <f>H120</f>
        <v>823.702</v>
      </c>
      <c r="I119" s="198">
        <f t="shared" si="53"/>
        <v>823.69599999999991</v>
      </c>
      <c r="J119" s="198">
        <f t="shared" si="53"/>
        <v>820.85399999999993</v>
      </c>
      <c r="K119" s="199">
        <f t="shared" si="46"/>
        <v>-6.0000000000854925E-3</v>
      </c>
      <c r="L119" s="199">
        <f t="shared" si="54"/>
        <v>99.999271581227177</v>
      </c>
      <c r="M119" s="199">
        <f t="shared" si="47"/>
        <v>-2.8419999999999845</v>
      </c>
      <c r="N119" s="199">
        <f t="shared" si="55"/>
        <v>99.654969794681534</v>
      </c>
      <c r="O119" s="199">
        <f t="shared" si="48"/>
        <v>144.41484869809992</v>
      </c>
      <c r="P119" s="199">
        <f t="shared" si="49"/>
        <v>99.6542438891735</v>
      </c>
      <c r="Q119" s="199">
        <f t="shared" si="50"/>
        <v>255.30200000000002</v>
      </c>
      <c r="R119" s="199">
        <f t="shared" si="51"/>
        <v>144.91590429275158</v>
      </c>
      <c r="S119" s="199">
        <f t="shared" si="52"/>
        <v>0.60794717196088266</v>
      </c>
    </row>
    <row r="120" spans="1:19" ht="40.5" customHeight="1" x14ac:dyDescent="0.2">
      <c r="A120" s="126" t="s">
        <v>420</v>
      </c>
      <c r="B120" s="127">
        <v>3</v>
      </c>
      <c r="C120" s="195">
        <v>10</v>
      </c>
      <c r="D120" s="227" t="s">
        <v>421</v>
      </c>
      <c r="E120" s="227"/>
      <c r="F120" s="227"/>
      <c r="G120" s="198">
        <f t="shared" ref="G120:J120" si="56">G121+G127</f>
        <v>568.4</v>
      </c>
      <c r="H120" s="198">
        <f>H121+H127</f>
        <v>823.702</v>
      </c>
      <c r="I120" s="198">
        <f t="shared" si="56"/>
        <v>823.69599999999991</v>
      </c>
      <c r="J120" s="198">
        <f t="shared" si="56"/>
        <v>820.85399999999993</v>
      </c>
      <c r="K120" s="199">
        <f t="shared" si="46"/>
        <v>-6.0000000000854925E-3</v>
      </c>
      <c r="L120" s="199">
        <f t="shared" si="54"/>
        <v>99.999271581227177</v>
      </c>
      <c r="M120" s="199">
        <f t="shared" si="47"/>
        <v>-2.8419999999999845</v>
      </c>
      <c r="N120" s="199">
        <f t="shared" si="55"/>
        <v>99.654969794681534</v>
      </c>
      <c r="O120" s="199">
        <f t="shared" si="48"/>
        <v>144.41484869809992</v>
      </c>
      <c r="P120" s="199">
        <f t="shared" si="49"/>
        <v>99.6542438891735</v>
      </c>
      <c r="Q120" s="199">
        <f t="shared" si="50"/>
        <v>255.30200000000002</v>
      </c>
      <c r="R120" s="199">
        <f t="shared" si="51"/>
        <v>144.91590429275158</v>
      </c>
      <c r="S120" s="199">
        <f t="shared" si="52"/>
        <v>0.60794717196088266</v>
      </c>
    </row>
    <row r="121" spans="1:19" s="204" customFormat="1" ht="51" customHeight="1" x14ac:dyDescent="0.3">
      <c r="A121" s="126" t="s">
        <v>422</v>
      </c>
      <c r="B121" s="127" t="s">
        <v>318</v>
      </c>
      <c r="C121" s="195">
        <v>10</v>
      </c>
      <c r="D121" s="228" t="s">
        <v>418</v>
      </c>
      <c r="E121" s="197"/>
      <c r="F121" s="197"/>
      <c r="G121" s="198">
        <f t="shared" ref="G121:J122" si="57">G122</f>
        <v>0</v>
      </c>
      <c r="H121" s="198">
        <f t="shared" si="57"/>
        <v>132.69999999999999</v>
      </c>
      <c r="I121" s="198">
        <f t="shared" si="57"/>
        <v>132.69399999999999</v>
      </c>
      <c r="J121" s="198">
        <f t="shared" si="57"/>
        <v>132.69399999999999</v>
      </c>
      <c r="K121" s="199">
        <f t="shared" si="46"/>
        <v>-6.0000000000002274E-3</v>
      </c>
      <c r="L121" s="199">
        <f t="shared" si="54"/>
        <v>99.995478522984172</v>
      </c>
      <c r="M121" s="199">
        <f t="shared" si="47"/>
        <v>0</v>
      </c>
      <c r="N121" s="199">
        <f t="shared" si="55"/>
        <v>100</v>
      </c>
      <c r="O121" s="199"/>
      <c r="P121" s="199">
        <f t="shared" si="49"/>
        <v>99.995478522984172</v>
      </c>
      <c r="Q121" s="199">
        <f t="shared" si="50"/>
        <v>132.69999999999999</v>
      </c>
      <c r="R121" s="199"/>
      <c r="S121" s="199">
        <f t="shared" si="52"/>
        <v>9.8276845865619675E-2</v>
      </c>
    </row>
    <row r="122" spans="1:19" s="204" customFormat="1" ht="30.75" customHeight="1" x14ac:dyDescent="0.3">
      <c r="A122" s="201" t="s">
        <v>404</v>
      </c>
      <c r="B122" s="127" t="s">
        <v>318</v>
      </c>
      <c r="C122" s="195">
        <v>10</v>
      </c>
      <c r="D122" s="218" t="s">
        <v>418</v>
      </c>
      <c r="E122" s="197">
        <v>200</v>
      </c>
      <c r="F122" s="197"/>
      <c r="G122" s="198">
        <f t="shared" si="57"/>
        <v>0</v>
      </c>
      <c r="H122" s="198">
        <f t="shared" si="57"/>
        <v>132.69999999999999</v>
      </c>
      <c r="I122" s="198">
        <f t="shared" si="57"/>
        <v>132.69399999999999</v>
      </c>
      <c r="J122" s="198">
        <f t="shared" si="57"/>
        <v>132.69399999999999</v>
      </c>
      <c r="K122" s="199">
        <f t="shared" si="46"/>
        <v>-6.0000000000002274E-3</v>
      </c>
      <c r="L122" s="199">
        <f t="shared" si="54"/>
        <v>99.995478522984172</v>
      </c>
      <c r="M122" s="199">
        <f t="shared" si="47"/>
        <v>0</v>
      </c>
      <c r="N122" s="199">
        <f t="shared" si="55"/>
        <v>100</v>
      </c>
      <c r="O122" s="199"/>
      <c r="P122" s="199">
        <f t="shared" si="49"/>
        <v>99.995478522984172</v>
      </c>
      <c r="Q122" s="199">
        <f t="shared" si="50"/>
        <v>132.69999999999999</v>
      </c>
      <c r="R122" s="199"/>
      <c r="S122" s="199">
        <f t="shared" si="52"/>
        <v>9.8276845865619675E-2</v>
      </c>
    </row>
    <row r="123" spans="1:19" s="204" customFormat="1" ht="37.5" customHeight="1" x14ac:dyDescent="0.3">
      <c r="A123" s="126" t="s">
        <v>395</v>
      </c>
      <c r="B123" s="127" t="s">
        <v>318</v>
      </c>
      <c r="C123" s="195">
        <v>10</v>
      </c>
      <c r="D123" s="219" t="s">
        <v>418</v>
      </c>
      <c r="E123" s="197">
        <v>240</v>
      </c>
      <c r="F123" s="197"/>
      <c r="G123" s="198"/>
      <c r="H123" s="198">
        <f>'[4]приложение №3 (5) 2022г.'!G90</f>
        <v>132.69999999999999</v>
      </c>
      <c r="I123" s="198">
        <f>I124+I125+I126</f>
        <v>132.69399999999999</v>
      </c>
      <c r="J123" s="198">
        <f>J124+J125+J126</f>
        <v>132.69399999999999</v>
      </c>
      <c r="K123" s="199">
        <f t="shared" si="46"/>
        <v>-6.0000000000002274E-3</v>
      </c>
      <c r="L123" s="199">
        <f t="shared" si="54"/>
        <v>99.995478522984172</v>
      </c>
      <c r="M123" s="199">
        <f t="shared" si="47"/>
        <v>0</v>
      </c>
      <c r="N123" s="199">
        <f t="shared" si="55"/>
        <v>100</v>
      </c>
      <c r="O123" s="199"/>
      <c r="P123" s="199">
        <f t="shared" si="49"/>
        <v>99.995478522984172</v>
      </c>
      <c r="Q123" s="199">
        <f t="shared" si="50"/>
        <v>132.69999999999999</v>
      </c>
      <c r="R123" s="199"/>
      <c r="S123" s="199">
        <f t="shared" si="52"/>
        <v>9.8276845865619675E-2</v>
      </c>
    </row>
    <row r="124" spans="1:19" s="204" customFormat="1" ht="18" customHeight="1" x14ac:dyDescent="0.3">
      <c r="A124" s="126"/>
      <c r="B124" s="127" t="s">
        <v>318</v>
      </c>
      <c r="C124" s="195">
        <v>10</v>
      </c>
      <c r="D124" s="219" t="s">
        <v>418</v>
      </c>
      <c r="E124" s="197">
        <v>244</v>
      </c>
      <c r="F124" s="197">
        <v>310</v>
      </c>
      <c r="G124" s="198"/>
      <c r="H124" s="198"/>
      <c r="I124" s="198">
        <v>106.6</v>
      </c>
      <c r="J124" s="198">
        <v>106.6</v>
      </c>
      <c r="K124" s="199"/>
      <c r="L124" s="199"/>
      <c r="M124" s="199"/>
      <c r="N124" s="199"/>
      <c r="O124" s="199"/>
      <c r="P124" s="199"/>
      <c r="Q124" s="199"/>
      <c r="R124" s="199"/>
      <c r="S124" s="199"/>
    </row>
    <row r="125" spans="1:19" s="204" customFormat="1" ht="20.25" customHeight="1" x14ac:dyDescent="0.3">
      <c r="A125" s="126"/>
      <c r="B125" s="127" t="s">
        <v>318</v>
      </c>
      <c r="C125" s="195">
        <v>10</v>
      </c>
      <c r="D125" s="219" t="s">
        <v>418</v>
      </c>
      <c r="E125" s="197">
        <v>244</v>
      </c>
      <c r="F125" s="197">
        <v>345</v>
      </c>
      <c r="G125" s="198"/>
      <c r="H125" s="198"/>
      <c r="I125" s="198">
        <v>17.094000000000001</v>
      </c>
      <c r="J125" s="198">
        <v>17.094000000000001</v>
      </c>
      <c r="K125" s="199"/>
      <c r="L125" s="199"/>
      <c r="M125" s="199"/>
      <c r="N125" s="199"/>
      <c r="O125" s="199"/>
      <c r="P125" s="199"/>
      <c r="Q125" s="199"/>
      <c r="R125" s="199"/>
      <c r="S125" s="199"/>
    </row>
    <row r="126" spans="1:19" s="204" customFormat="1" ht="18.75" customHeight="1" x14ac:dyDescent="0.3">
      <c r="A126" s="126"/>
      <c r="B126" s="127" t="s">
        <v>318</v>
      </c>
      <c r="C126" s="195">
        <v>10</v>
      </c>
      <c r="D126" s="219" t="s">
        <v>418</v>
      </c>
      <c r="E126" s="197">
        <v>244</v>
      </c>
      <c r="F126" s="197">
        <v>346</v>
      </c>
      <c r="G126" s="198"/>
      <c r="H126" s="198"/>
      <c r="I126" s="198">
        <v>9</v>
      </c>
      <c r="J126" s="198">
        <v>9</v>
      </c>
      <c r="K126" s="199"/>
      <c r="L126" s="199"/>
      <c r="M126" s="199"/>
      <c r="N126" s="199"/>
      <c r="O126" s="199"/>
      <c r="P126" s="199"/>
      <c r="Q126" s="199"/>
      <c r="R126" s="199"/>
      <c r="S126" s="199"/>
    </row>
    <row r="127" spans="1:19" x14ac:dyDescent="0.2">
      <c r="A127" s="126" t="s">
        <v>402</v>
      </c>
      <c r="B127" s="127">
        <v>3</v>
      </c>
      <c r="C127" s="195">
        <v>10</v>
      </c>
      <c r="D127" s="227" t="s">
        <v>423</v>
      </c>
      <c r="E127" s="197"/>
      <c r="F127" s="197"/>
      <c r="G127" s="198">
        <f t="shared" ref="G127:J128" si="58">G128</f>
        <v>568.4</v>
      </c>
      <c r="H127" s="198">
        <f>H128</f>
        <v>691.00199999999995</v>
      </c>
      <c r="I127" s="198">
        <f t="shared" si="58"/>
        <v>691.00199999999995</v>
      </c>
      <c r="J127" s="198">
        <f t="shared" si="58"/>
        <v>688.16</v>
      </c>
      <c r="K127" s="199">
        <f t="shared" si="46"/>
        <v>0</v>
      </c>
      <c r="L127" s="199">
        <f t="shared" si="54"/>
        <v>100</v>
      </c>
      <c r="M127" s="199">
        <f t="shared" si="47"/>
        <v>-2.8419999999999845</v>
      </c>
      <c r="N127" s="199">
        <f t="shared" si="55"/>
        <v>99.588713201987844</v>
      </c>
      <c r="O127" s="199">
        <f t="shared" si="48"/>
        <v>121.06966924700914</v>
      </c>
      <c r="P127" s="199">
        <f t="shared" si="49"/>
        <v>99.588713201987844</v>
      </c>
      <c r="Q127" s="199">
        <f t="shared" si="50"/>
        <v>122.60199999999998</v>
      </c>
      <c r="R127" s="199">
        <f t="shared" si="51"/>
        <v>121.56966924700913</v>
      </c>
      <c r="S127" s="199">
        <f>J127/$J$355*100</f>
        <v>0.50967032609526308</v>
      </c>
    </row>
    <row r="128" spans="1:19" ht="32.25" customHeight="1" x14ac:dyDescent="0.2">
      <c r="A128" s="201" t="s">
        <v>404</v>
      </c>
      <c r="B128" s="127">
        <v>3</v>
      </c>
      <c r="C128" s="195">
        <v>10</v>
      </c>
      <c r="D128" s="227" t="s">
        <v>423</v>
      </c>
      <c r="E128" s="229">
        <v>200</v>
      </c>
      <c r="F128" s="229"/>
      <c r="G128" s="198">
        <f t="shared" si="58"/>
        <v>568.4</v>
      </c>
      <c r="H128" s="198">
        <f>H129</f>
        <v>691.00199999999995</v>
      </c>
      <c r="I128" s="198">
        <f t="shared" si="58"/>
        <v>691.00199999999995</v>
      </c>
      <c r="J128" s="198">
        <f t="shared" si="58"/>
        <v>688.16</v>
      </c>
      <c r="K128" s="199">
        <f t="shared" si="46"/>
        <v>0</v>
      </c>
      <c r="L128" s="199">
        <f t="shared" si="54"/>
        <v>100</v>
      </c>
      <c r="M128" s="199">
        <f t="shared" si="47"/>
        <v>-2.8419999999999845</v>
      </c>
      <c r="N128" s="199">
        <f t="shared" si="55"/>
        <v>99.588713201987844</v>
      </c>
      <c r="O128" s="199">
        <f t="shared" si="48"/>
        <v>121.06966924700914</v>
      </c>
      <c r="P128" s="199">
        <f t="shared" si="49"/>
        <v>99.588713201987844</v>
      </c>
      <c r="Q128" s="199">
        <f t="shared" si="50"/>
        <v>122.60199999999998</v>
      </c>
      <c r="R128" s="199">
        <f t="shared" si="51"/>
        <v>121.56966924700913</v>
      </c>
      <c r="S128" s="199">
        <f>J128/$J$355*100</f>
        <v>0.50967032609526308</v>
      </c>
    </row>
    <row r="129" spans="1:19" ht="41.25" customHeight="1" x14ac:dyDescent="0.2">
      <c r="A129" s="201" t="s">
        <v>395</v>
      </c>
      <c r="B129" s="127">
        <v>3</v>
      </c>
      <c r="C129" s="195">
        <v>10</v>
      </c>
      <c r="D129" s="227" t="s">
        <v>423</v>
      </c>
      <c r="E129" s="229">
        <v>240</v>
      </c>
      <c r="F129" s="229"/>
      <c r="G129" s="198">
        <v>568.4</v>
      </c>
      <c r="H129" s="198">
        <f>'[4]приложение №3 (5) 2022г.'!G93</f>
        <v>691.00199999999995</v>
      </c>
      <c r="I129" s="198">
        <f>I130+I131+I132</f>
        <v>691.00199999999995</v>
      </c>
      <c r="J129" s="198">
        <f>J130+J131+J132</f>
        <v>688.16</v>
      </c>
      <c r="K129" s="199">
        <f t="shared" si="46"/>
        <v>0</v>
      </c>
      <c r="L129" s="199">
        <f t="shared" si="54"/>
        <v>100</v>
      </c>
      <c r="M129" s="199">
        <f t="shared" si="47"/>
        <v>-2.8419999999999845</v>
      </c>
      <c r="N129" s="199">
        <f t="shared" si="55"/>
        <v>99.588713201987844</v>
      </c>
      <c r="O129" s="199">
        <f t="shared" si="48"/>
        <v>121.06966924700914</v>
      </c>
      <c r="P129" s="199">
        <f t="shared" si="49"/>
        <v>99.588713201987844</v>
      </c>
      <c r="Q129" s="199">
        <f t="shared" si="50"/>
        <v>122.60199999999998</v>
      </c>
      <c r="R129" s="199">
        <f t="shared" si="51"/>
        <v>121.56966924700913</v>
      </c>
      <c r="S129" s="199">
        <f>J129/$J$355*100</f>
        <v>0.50967032609526308</v>
      </c>
    </row>
    <row r="130" spans="1:19" ht="20.25" customHeight="1" x14ac:dyDescent="0.2">
      <c r="A130" s="201"/>
      <c r="B130" s="127">
        <v>3</v>
      </c>
      <c r="C130" s="195">
        <v>10</v>
      </c>
      <c r="D130" s="227" t="s">
        <v>423</v>
      </c>
      <c r="E130" s="229">
        <v>244</v>
      </c>
      <c r="F130" s="229">
        <v>225</v>
      </c>
      <c r="G130" s="198"/>
      <c r="H130" s="198"/>
      <c r="I130" s="198">
        <v>568.4</v>
      </c>
      <c r="J130" s="198">
        <v>565.55799999999999</v>
      </c>
      <c r="K130" s="199"/>
      <c r="L130" s="199"/>
      <c r="M130" s="199"/>
      <c r="N130" s="199"/>
      <c r="O130" s="199"/>
      <c r="P130" s="199"/>
      <c r="Q130" s="199"/>
      <c r="R130" s="199"/>
      <c r="S130" s="199"/>
    </row>
    <row r="131" spans="1:19" ht="19.5" customHeight="1" x14ac:dyDescent="0.2">
      <c r="A131" s="201"/>
      <c r="B131" s="127">
        <v>3</v>
      </c>
      <c r="C131" s="195">
        <v>10</v>
      </c>
      <c r="D131" s="227" t="s">
        <v>423</v>
      </c>
      <c r="E131" s="229">
        <v>244</v>
      </c>
      <c r="F131" s="229">
        <v>310</v>
      </c>
      <c r="G131" s="198"/>
      <c r="H131" s="198"/>
      <c r="I131" s="198">
        <v>51.302</v>
      </c>
      <c r="J131" s="198">
        <v>51.302</v>
      </c>
      <c r="K131" s="199"/>
      <c r="L131" s="199"/>
      <c r="M131" s="199"/>
      <c r="N131" s="199"/>
      <c r="O131" s="199"/>
      <c r="P131" s="199"/>
      <c r="Q131" s="199"/>
      <c r="R131" s="199"/>
      <c r="S131" s="199"/>
    </row>
    <row r="132" spans="1:19" ht="23.25" customHeight="1" x14ac:dyDescent="0.2">
      <c r="A132" s="201"/>
      <c r="B132" s="127">
        <v>3</v>
      </c>
      <c r="C132" s="195">
        <v>10</v>
      </c>
      <c r="D132" s="227" t="s">
        <v>423</v>
      </c>
      <c r="E132" s="229">
        <v>244</v>
      </c>
      <c r="F132" s="229">
        <v>346</v>
      </c>
      <c r="G132" s="198"/>
      <c r="H132" s="198"/>
      <c r="I132" s="198">
        <v>71.3</v>
      </c>
      <c r="J132" s="198">
        <v>71.3</v>
      </c>
      <c r="K132" s="199"/>
      <c r="L132" s="199"/>
      <c r="M132" s="199"/>
      <c r="N132" s="199"/>
      <c r="O132" s="199"/>
      <c r="P132" s="199"/>
      <c r="Q132" s="199"/>
      <c r="R132" s="199"/>
      <c r="S132" s="199"/>
    </row>
    <row r="133" spans="1:19" s="230" customFormat="1" ht="40.5" customHeight="1" x14ac:dyDescent="0.3">
      <c r="A133" s="189" t="s">
        <v>325</v>
      </c>
      <c r="B133" s="190" t="s">
        <v>318</v>
      </c>
      <c r="C133" s="191">
        <v>14</v>
      </c>
      <c r="D133" s="193"/>
      <c r="E133" s="193"/>
      <c r="F133" s="193"/>
      <c r="G133" s="194">
        <f t="shared" ref="G133:J134" si="59">G134</f>
        <v>90.6</v>
      </c>
      <c r="H133" s="194">
        <f t="shared" si="59"/>
        <v>90.718000000000004</v>
      </c>
      <c r="I133" s="194">
        <f t="shared" si="59"/>
        <v>90.718000000000004</v>
      </c>
      <c r="J133" s="194">
        <f t="shared" si="59"/>
        <v>90.718000000000004</v>
      </c>
      <c r="K133" s="187">
        <f t="shared" si="46"/>
        <v>0</v>
      </c>
      <c r="L133" s="187">
        <f t="shared" si="54"/>
        <v>100</v>
      </c>
      <c r="M133" s="187">
        <f t="shared" si="47"/>
        <v>0</v>
      </c>
      <c r="N133" s="187">
        <f t="shared" si="55"/>
        <v>100</v>
      </c>
      <c r="O133" s="187">
        <f t="shared" si="48"/>
        <v>100.13024282560707</v>
      </c>
      <c r="P133" s="187">
        <f t="shared" si="49"/>
        <v>100</v>
      </c>
      <c r="Q133" s="187">
        <f t="shared" si="50"/>
        <v>0.11800000000000921</v>
      </c>
      <c r="R133" s="187">
        <f t="shared" si="51"/>
        <v>100.13024282560707</v>
      </c>
      <c r="S133" s="187">
        <f t="shared" ref="S133:S138" si="60">J133/$J$355*100</f>
        <v>6.7188259478478951E-2</v>
      </c>
    </row>
    <row r="134" spans="1:19" s="204" customFormat="1" ht="51.75" customHeight="1" x14ac:dyDescent="0.3">
      <c r="A134" s="126" t="s">
        <v>388</v>
      </c>
      <c r="B134" s="127" t="s">
        <v>318</v>
      </c>
      <c r="C134" s="195">
        <v>14</v>
      </c>
      <c r="D134" s="228" t="s">
        <v>389</v>
      </c>
      <c r="E134" s="197"/>
      <c r="F134" s="197"/>
      <c r="G134" s="198">
        <f t="shared" si="59"/>
        <v>90.6</v>
      </c>
      <c r="H134" s="198">
        <f t="shared" si="59"/>
        <v>90.718000000000004</v>
      </c>
      <c r="I134" s="198">
        <f t="shared" si="59"/>
        <v>90.718000000000004</v>
      </c>
      <c r="J134" s="198">
        <f t="shared" si="59"/>
        <v>90.718000000000004</v>
      </c>
      <c r="K134" s="199">
        <f t="shared" si="46"/>
        <v>0</v>
      </c>
      <c r="L134" s="199">
        <f t="shared" si="54"/>
        <v>100</v>
      </c>
      <c r="M134" s="199">
        <f t="shared" si="47"/>
        <v>0</v>
      </c>
      <c r="N134" s="199">
        <f t="shared" si="55"/>
        <v>100</v>
      </c>
      <c r="O134" s="199">
        <f t="shared" si="48"/>
        <v>100.13024282560707</v>
      </c>
      <c r="P134" s="199">
        <f t="shared" si="49"/>
        <v>100</v>
      </c>
      <c r="Q134" s="199">
        <f t="shared" si="50"/>
        <v>0.11800000000000921</v>
      </c>
      <c r="R134" s="199">
        <f t="shared" si="51"/>
        <v>100.13024282560707</v>
      </c>
      <c r="S134" s="199">
        <f t="shared" si="60"/>
        <v>6.7188259478478951E-2</v>
      </c>
    </row>
    <row r="135" spans="1:19" s="204" customFormat="1" ht="27.75" customHeight="1" x14ac:dyDescent="0.3">
      <c r="A135" s="231" t="s">
        <v>424</v>
      </c>
      <c r="B135" s="127" t="s">
        <v>318</v>
      </c>
      <c r="C135" s="195">
        <v>14</v>
      </c>
      <c r="D135" s="228" t="s">
        <v>425</v>
      </c>
      <c r="E135" s="197"/>
      <c r="F135" s="197"/>
      <c r="G135" s="198">
        <f t="shared" ref="G135:J135" si="61">G136+G143</f>
        <v>90.6</v>
      </c>
      <c r="H135" s="198">
        <f>H136+H143</f>
        <v>90.718000000000004</v>
      </c>
      <c r="I135" s="198">
        <f t="shared" si="61"/>
        <v>90.718000000000004</v>
      </c>
      <c r="J135" s="198">
        <f t="shared" si="61"/>
        <v>90.718000000000004</v>
      </c>
      <c r="K135" s="199">
        <f t="shared" si="46"/>
        <v>0</v>
      </c>
      <c r="L135" s="199">
        <f t="shared" si="54"/>
        <v>100</v>
      </c>
      <c r="M135" s="199">
        <f t="shared" si="47"/>
        <v>0</v>
      </c>
      <c r="N135" s="199">
        <f t="shared" si="55"/>
        <v>100</v>
      </c>
      <c r="O135" s="199">
        <f t="shared" si="48"/>
        <v>100.13024282560707</v>
      </c>
      <c r="P135" s="199">
        <f t="shared" si="49"/>
        <v>100</v>
      </c>
      <c r="Q135" s="199">
        <f t="shared" si="50"/>
        <v>0.11800000000000921</v>
      </c>
      <c r="R135" s="199">
        <f t="shared" si="51"/>
        <v>100.13024282560707</v>
      </c>
      <c r="S135" s="199">
        <f t="shared" si="60"/>
        <v>6.7188259478478951E-2</v>
      </c>
    </row>
    <row r="136" spans="1:19" s="204" customFormat="1" ht="30" customHeight="1" x14ac:dyDescent="0.3">
      <c r="A136" s="216" t="s">
        <v>426</v>
      </c>
      <c r="B136" s="127" t="s">
        <v>318</v>
      </c>
      <c r="C136" s="195">
        <v>14</v>
      </c>
      <c r="D136" s="228" t="s">
        <v>427</v>
      </c>
      <c r="E136" s="197"/>
      <c r="F136" s="197"/>
      <c r="G136" s="198">
        <f t="shared" ref="G136:J136" si="62">G137+G140</f>
        <v>63.4</v>
      </c>
      <c r="H136" s="198">
        <f>H137+H140</f>
        <v>63.400000000000006</v>
      </c>
      <c r="I136" s="198">
        <f t="shared" si="62"/>
        <v>63.400000000000006</v>
      </c>
      <c r="J136" s="198">
        <f t="shared" si="62"/>
        <v>63.400000000000006</v>
      </c>
      <c r="K136" s="199">
        <f t="shared" si="46"/>
        <v>0</v>
      </c>
      <c r="L136" s="199">
        <f t="shared" si="54"/>
        <v>100</v>
      </c>
      <c r="M136" s="199">
        <f t="shared" si="47"/>
        <v>0</v>
      </c>
      <c r="N136" s="199">
        <f t="shared" si="55"/>
        <v>100</v>
      </c>
      <c r="O136" s="199">
        <f t="shared" si="48"/>
        <v>100.00000000000003</v>
      </c>
      <c r="P136" s="199">
        <f t="shared" si="49"/>
        <v>100</v>
      </c>
      <c r="Q136" s="199">
        <f t="shared" si="50"/>
        <v>0</v>
      </c>
      <c r="R136" s="199">
        <f t="shared" si="51"/>
        <v>100.00000000000003</v>
      </c>
      <c r="S136" s="199">
        <f t="shared" si="60"/>
        <v>4.6955793237676818E-2</v>
      </c>
    </row>
    <row r="137" spans="1:19" s="204" customFormat="1" ht="61.5" customHeight="1" x14ac:dyDescent="0.3">
      <c r="A137" s="201" t="s">
        <v>376</v>
      </c>
      <c r="B137" s="127" t="s">
        <v>318</v>
      </c>
      <c r="C137" s="195">
        <v>14</v>
      </c>
      <c r="D137" s="218" t="s">
        <v>427</v>
      </c>
      <c r="E137" s="197">
        <v>100</v>
      </c>
      <c r="F137" s="197"/>
      <c r="G137" s="198">
        <f t="shared" ref="G137:J137" si="63">G138</f>
        <v>63.4</v>
      </c>
      <c r="H137" s="198">
        <f>H138</f>
        <v>57.432000000000002</v>
      </c>
      <c r="I137" s="198">
        <f t="shared" si="63"/>
        <v>57.432000000000002</v>
      </c>
      <c r="J137" s="198">
        <f t="shared" si="63"/>
        <v>57.432000000000002</v>
      </c>
      <c r="K137" s="199">
        <f t="shared" si="46"/>
        <v>0</v>
      </c>
      <c r="L137" s="199">
        <f t="shared" si="54"/>
        <v>100</v>
      </c>
      <c r="M137" s="199">
        <f t="shared" si="47"/>
        <v>0</v>
      </c>
      <c r="N137" s="199">
        <f t="shared" si="55"/>
        <v>100</v>
      </c>
      <c r="O137" s="199">
        <f t="shared" si="48"/>
        <v>90.586750788643528</v>
      </c>
      <c r="P137" s="199">
        <f t="shared" si="49"/>
        <v>100</v>
      </c>
      <c r="Q137" s="199">
        <f t="shared" si="50"/>
        <v>-5.9679999999999964</v>
      </c>
      <c r="R137" s="199">
        <f t="shared" si="51"/>
        <v>90.586750788643528</v>
      </c>
      <c r="S137" s="199">
        <f t="shared" si="60"/>
        <v>4.2535727401045033E-2</v>
      </c>
    </row>
    <row r="138" spans="1:19" s="204" customFormat="1" ht="29.25" customHeight="1" x14ac:dyDescent="0.3">
      <c r="A138" s="201" t="s">
        <v>377</v>
      </c>
      <c r="B138" s="127" t="s">
        <v>318</v>
      </c>
      <c r="C138" s="195">
        <v>14</v>
      </c>
      <c r="D138" s="219" t="s">
        <v>427</v>
      </c>
      <c r="E138" s="197">
        <v>120</v>
      </c>
      <c r="F138" s="197"/>
      <c r="G138" s="198">
        <v>63.4</v>
      </c>
      <c r="H138" s="198">
        <f>'[4]приложение №3 (5) 2022г.'!G99</f>
        <v>57.432000000000002</v>
      </c>
      <c r="I138" s="198">
        <f>I139</f>
        <v>57.432000000000002</v>
      </c>
      <c r="J138" s="198">
        <f>J139</f>
        <v>57.432000000000002</v>
      </c>
      <c r="K138" s="199">
        <f t="shared" si="46"/>
        <v>0</v>
      </c>
      <c r="L138" s="199">
        <f t="shared" si="54"/>
        <v>100</v>
      </c>
      <c r="M138" s="199">
        <f t="shared" si="47"/>
        <v>0</v>
      </c>
      <c r="N138" s="199">
        <f t="shared" si="55"/>
        <v>100</v>
      </c>
      <c r="O138" s="199">
        <f t="shared" si="48"/>
        <v>90.586750788643528</v>
      </c>
      <c r="P138" s="199">
        <f t="shared" si="49"/>
        <v>100</v>
      </c>
      <c r="Q138" s="199">
        <f t="shared" si="50"/>
        <v>-5.9679999999999964</v>
      </c>
      <c r="R138" s="199">
        <f t="shared" si="51"/>
        <v>90.586750788643528</v>
      </c>
      <c r="S138" s="199">
        <f t="shared" si="60"/>
        <v>4.2535727401045033E-2</v>
      </c>
    </row>
    <row r="139" spans="1:19" s="204" customFormat="1" ht="29.25" customHeight="1" x14ac:dyDescent="0.3">
      <c r="A139" s="201"/>
      <c r="B139" s="127" t="s">
        <v>307</v>
      </c>
      <c r="C139" s="195">
        <v>15</v>
      </c>
      <c r="D139" s="219" t="s">
        <v>427</v>
      </c>
      <c r="E139" s="197">
        <v>123</v>
      </c>
      <c r="F139" s="197">
        <v>226</v>
      </c>
      <c r="G139" s="198"/>
      <c r="H139" s="198"/>
      <c r="I139" s="198">
        <v>57.432000000000002</v>
      </c>
      <c r="J139" s="198">
        <v>57.432000000000002</v>
      </c>
      <c r="K139" s="199"/>
      <c r="L139" s="199"/>
      <c r="M139" s="199"/>
      <c r="N139" s="199"/>
      <c r="O139" s="199"/>
      <c r="P139" s="199"/>
      <c r="Q139" s="199"/>
      <c r="R139" s="199"/>
      <c r="S139" s="199"/>
    </row>
    <row r="140" spans="1:19" s="204" customFormat="1" ht="27" customHeight="1" x14ac:dyDescent="0.3">
      <c r="A140" s="201" t="s">
        <v>404</v>
      </c>
      <c r="B140" s="127">
        <v>3</v>
      </c>
      <c r="C140" s="195">
        <v>14</v>
      </c>
      <c r="D140" s="196" t="s">
        <v>427</v>
      </c>
      <c r="E140" s="197">
        <v>200</v>
      </c>
      <c r="F140" s="197"/>
      <c r="G140" s="198">
        <f t="shared" ref="G140:J140" si="64">G141</f>
        <v>0</v>
      </c>
      <c r="H140" s="198">
        <f>H141</f>
        <v>5.968</v>
      </c>
      <c r="I140" s="198">
        <f t="shared" si="64"/>
        <v>5.968</v>
      </c>
      <c r="J140" s="198">
        <f t="shared" si="64"/>
        <v>5.968</v>
      </c>
      <c r="K140" s="199">
        <f t="shared" si="46"/>
        <v>0</v>
      </c>
      <c r="L140" s="199">
        <f t="shared" si="54"/>
        <v>100</v>
      </c>
      <c r="M140" s="199">
        <f t="shared" si="47"/>
        <v>0</v>
      </c>
      <c r="N140" s="199">
        <f t="shared" si="55"/>
        <v>100</v>
      </c>
      <c r="O140" s="199"/>
      <c r="P140" s="199">
        <f t="shared" si="49"/>
        <v>100</v>
      </c>
      <c r="Q140" s="199">
        <f t="shared" si="50"/>
        <v>5.968</v>
      </c>
      <c r="R140" s="199"/>
      <c r="S140" s="199">
        <f>J140/$J$355*100</f>
        <v>4.4200658366317864E-3</v>
      </c>
    </row>
    <row r="141" spans="1:19" s="204" customFormat="1" ht="40.5" customHeight="1" x14ac:dyDescent="0.3">
      <c r="A141" s="201" t="s">
        <v>395</v>
      </c>
      <c r="B141" s="127">
        <v>3</v>
      </c>
      <c r="C141" s="195">
        <v>14</v>
      </c>
      <c r="D141" s="196" t="s">
        <v>427</v>
      </c>
      <c r="E141" s="197">
        <v>240</v>
      </c>
      <c r="F141" s="197"/>
      <c r="G141" s="198"/>
      <c r="H141" s="198">
        <f>'[4]приложение №3 (5) 2022г.'!G101</f>
        <v>5.968</v>
      </c>
      <c r="I141" s="198">
        <f>I142</f>
        <v>5.968</v>
      </c>
      <c r="J141" s="198">
        <f>J142</f>
        <v>5.968</v>
      </c>
      <c r="K141" s="199">
        <f t="shared" si="46"/>
        <v>0</v>
      </c>
      <c r="L141" s="199">
        <f t="shared" si="54"/>
        <v>100</v>
      </c>
      <c r="M141" s="199">
        <f t="shared" si="47"/>
        <v>0</v>
      </c>
      <c r="N141" s="199">
        <f t="shared" si="55"/>
        <v>100</v>
      </c>
      <c r="O141" s="199"/>
      <c r="P141" s="199">
        <f t="shared" si="49"/>
        <v>100</v>
      </c>
      <c r="Q141" s="199">
        <f t="shared" si="50"/>
        <v>5.968</v>
      </c>
      <c r="R141" s="199"/>
      <c r="S141" s="199">
        <f>J141/$J$355*100</f>
        <v>4.4200658366317864E-3</v>
      </c>
    </row>
    <row r="142" spans="1:19" s="204" customFormat="1" ht="15.75" customHeight="1" x14ac:dyDescent="0.3">
      <c r="A142" s="201"/>
      <c r="B142" s="127">
        <v>3</v>
      </c>
      <c r="C142" s="195">
        <v>14</v>
      </c>
      <c r="D142" s="196" t="s">
        <v>427</v>
      </c>
      <c r="E142" s="197">
        <v>244</v>
      </c>
      <c r="F142" s="197">
        <v>227</v>
      </c>
      <c r="G142" s="198"/>
      <c r="H142" s="198"/>
      <c r="I142" s="198">
        <v>5.968</v>
      </c>
      <c r="J142" s="198">
        <v>5.968</v>
      </c>
      <c r="K142" s="199"/>
      <c r="L142" s="199"/>
      <c r="M142" s="199"/>
      <c r="N142" s="199"/>
      <c r="O142" s="199"/>
      <c r="P142" s="199"/>
      <c r="Q142" s="199"/>
      <c r="R142" s="199"/>
      <c r="S142" s="199"/>
    </row>
    <row r="143" spans="1:19" s="204" customFormat="1" ht="23.25" customHeight="1" x14ac:dyDescent="0.3">
      <c r="A143" s="216" t="s">
        <v>428</v>
      </c>
      <c r="B143" s="127" t="s">
        <v>318</v>
      </c>
      <c r="C143" s="195">
        <v>14</v>
      </c>
      <c r="D143" s="228" t="s">
        <v>429</v>
      </c>
      <c r="E143" s="197"/>
      <c r="F143" s="197"/>
      <c r="G143" s="198">
        <f t="shared" ref="G143:J144" si="65">G144</f>
        <v>27.2</v>
      </c>
      <c r="H143" s="198">
        <f t="shared" si="65"/>
        <v>27.318000000000001</v>
      </c>
      <c r="I143" s="198">
        <f t="shared" si="65"/>
        <v>27.318000000000001</v>
      </c>
      <c r="J143" s="198">
        <f t="shared" si="65"/>
        <v>27.318000000000001</v>
      </c>
      <c r="K143" s="199">
        <f t="shared" si="46"/>
        <v>0</v>
      </c>
      <c r="L143" s="199">
        <f t="shared" si="54"/>
        <v>100</v>
      </c>
      <c r="M143" s="199">
        <f t="shared" si="47"/>
        <v>0</v>
      </c>
      <c r="N143" s="199">
        <f t="shared" si="55"/>
        <v>100</v>
      </c>
      <c r="O143" s="199">
        <f t="shared" si="48"/>
        <v>100.43382352941177</v>
      </c>
      <c r="P143" s="199">
        <f t="shared" si="49"/>
        <v>100</v>
      </c>
      <c r="Q143" s="199">
        <f t="shared" si="50"/>
        <v>0.1180000000000021</v>
      </c>
      <c r="R143" s="199">
        <f t="shared" si="51"/>
        <v>100.43382352941177</v>
      </c>
      <c r="S143" s="199">
        <f>J143/$J$355*100</f>
        <v>2.0232466240802136E-2</v>
      </c>
    </row>
    <row r="144" spans="1:19" s="204" customFormat="1" ht="63" customHeight="1" x14ac:dyDescent="0.3">
      <c r="A144" s="201" t="s">
        <v>376</v>
      </c>
      <c r="B144" s="127" t="s">
        <v>318</v>
      </c>
      <c r="C144" s="195">
        <v>14</v>
      </c>
      <c r="D144" s="228" t="s">
        <v>429</v>
      </c>
      <c r="E144" s="197">
        <v>100</v>
      </c>
      <c r="F144" s="197"/>
      <c r="G144" s="198">
        <f t="shared" si="65"/>
        <v>27.2</v>
      </c>
      <c r="H144" s="198">
        <f t="shared" si="65"/>
        <v>27.318000000000001</v>
      </c>
      <c r="I144" s="198">
        <f t="shared" si="65"/>
        <v>27.318000000000001</v>
      </c>
      <c r="J144" s="198">
        <f t="shared" si="65"/>
        <v>27.318000000000001</v>
      </c>
      <c r="K144" s="199">
        <f t="shared" si="46"/>
        <v>0</v>
      </c>
      <c r="L144" s="199">
        <f t="shared" si="54"/>
        <v>100</v>
      </c>
      <c r="M144" s="199">
        <f t="shared" si="47"/>
        <v>0</v>
      </c>
      <c r="N144" s="199">
        <f t="shared" si="55"/>
        <v>100</v>
      </c>
      <c r="O144" s="199">
        <f t="shared" si="48"/>
        <v>100.43382352941177</v>
      </c>
      <c r="P144" s="199">
        <f t="shared" si="49"/>
        <v>100</v>
      </c>
      <c r="Q144" s="199">
        <f t="shared" si="50"/>
        <v>0.1180000000000021</v>
      </c>
      <c r="R144" s="199">
        <f t="shared" si="51"/>
        <v>100.43382352941177</v>
      </c>
      <c r="S144" s="199">
        <f>J144/$J$355*100</f>
        <v>2.0232466240802136E-2</v>
      </c>
    </row>
    <row r="145" spans="1:19" s="204" customFormat="1" ht="24" customHeight="1" x14ac:dyDescent="0.3">
      <c r="A145" s="201" t="s">
        <v>377</v>
      </c>
      <c r="B145" s="127" t="s">
        <v>318</v>
      </c>
      <c r="C145" s="195">
        <v>14</v>
      </c>
      <c r="D145" s="219" t="s">
        <v>429</v>
      </c>
      <c r="E145" s="197">
        <v>120</v>
      </c>
      <c r="F145" s="197"/>
      <c r="G145" s="198">
        <v>27.2</v>
      </c>
      <c r="H145" s="198">
        <f>'[4]приложение №3 (5) 2022г.'!G104</f>
        <v>27.318000000000001</v>
      </c>
      <c r="I145" s="198">
        <f>I146</f>
        <v>27.318000000000001</v>
      </c>
      <c r="J145" s="198">
        <f>J146</f>
        <v>27.318000000000001</v>
      </c>
      <c r="K145" s="199">
        <f t="shared" si="46"/>
        <v>0</v>
      </c>
      <c r="L145" s="199">
        <f t="shared" si="54"/>
        <v>100</v>
      </c>
      <c r="M145" s="199">
        <f t="shared" si="47"/>
        <v>0</v>
      </c>
      <c r="N145" s="199">
        <f t="shared" si="55"/>
        <v>100</v>
      </c>
      <c r="O145" s="199">
        <f t="shared" si="48"/>
        <v>100.43382352941177</v>
      </c>
      <c r="P145" s="199">
        <f t="shared" si="49"/>
        <v>100</v>
      </c>
      <c r="Q145" s="199">
        <f t="shared" si="50"/>
        <v>0.1180000000000021</v>
      </c>
      <c r="R145" s="199">
        <f t="shared" si="51"/>
        <v>100.43382352941177</v>
      </c>
      <c r="S145" s="199">
        <f>J145/$J$355*100</f>
        <v>2.0232466240802136E-2</v>
      </c>
    </row>
    <row r="146" spans="1:19" s="204" customFormat="1" ht="24" customHeight="1" x14ac:dyDescent="0.3">
      <c r="A146" s="201"/>
      <c r="B146" s="127" t="s">
        <v>318</v>
      </c>
      <c r="C146" s="195">
        <v>14</v>
      </c>
      <c r="D146" s="219" t="s">
        <v>429</v>
      </c>
      <c r="E146" s="197">
        <v>123</v>
      </c>
      <c r="F146" s="197">
        <v>226</v>
      </c>
      <c r="G146" s="198"/>
      <c r="H146" s="198"/>
      <c r="I146" s="198">
        <v>27.318000000000001</v>
      </c>
      <c r="J146" s="198">
        <v>27.318000000000001</v>
      </c>
      <c r="K146" s="199"/>
      <c r="L146" s="199"/>
      <c r="M146" s="199"/>
      <c r="N146" s="199"/>
      <c r="O146" s="199"/>
      <c r="P146" s="199"/>
      <c r="Q146" s="199"/>
      <c r="R146" s="199"/>
      <c r="S146" s="199"/>
    </row>
    <row r="147" spans="1:19" s="230" customFormat="1" ht="25.5" customHeight="1" x14ac:dyDescent="0.3">
      <c r="A147" s="181" t="s">
        <v>430</v>
      </c>
      <c r="B147" s="214">
        <v>4</v>
      </c>
      <c r="C147" s="211"/>
      <c r="D147" s="184"/>
      <c r="E147" s="185"/>
      <c r="F147" s="185"/>
      <c r="G147" s="186">
        <f t="shared" ref="G147:J147" si="66">G148+G166+G173+G191+G200</f>
        <v>7453.6</v>
      </c>
      <c r="H147" s="186">
        <f>H148+H166+H173+H191+H200</f>
        <v>12986.914000000001</v>
      </c>
      <c r="I147" s="186">
        <f t="shared" si="66"/>
        <v>12986.917079999999</v>
      </c>
      <c r="J147" s="186">
        <f t="shared" si="66"/>
        <v>11584.23828</v>
      </c>
      <c r="K147" s="187">
        <f t="shared" si="46"/>
        <v>3.0799999985902105E-3</v>
      </c>
      <c r="L147" s="187">
        <f t="shared" si="54"/>
        <v>100.00002371618075</v>
      </c>
      <c r="M147" s="187">
        <f t="shared" si="47"/>
        <v>-1402.6787999999997</v>
      </c>
      <c r="N147" s="187">
        <f t="shared" si="55"/>
        <v>89.199293478510455</v>
      </c>
      <c r="O147" s="187">
        <f t="shared" si="48"/>
        <v>155.41802994526134</v>
      </c>
      <c r="P147" s="187">
        <f t="shared" si="49"/>
        <v>89.19931463317613</v>
      </c>
      <c r="Q147" s="187">
        <f t="shared" si="50"/>
        <v>5533.3140000000003</v>
      </c>
      <c r="R147" s="187">
        <f t="shared" si="51"/>
        <v>174.2367983256413</v>
      </c>
      <c r="S147" s="187">
        <f t="shared" ref="S147:S153" si="67">J147/$J$355*100</f>
        <v>8.5796072159567949</v>
      </c>
    </row>
    <row r="148" spans="1:19" s="230" customFormat="1" ht="21.75" customHeight="1" x14ac:dyDescent="0.3">
      <c r="A148" s="189" t="s">
        <v>328</v>
      </c>
      <c r="B148" s="190">
        <v>4</v>
      </c>
      <c r="C148" s="191">
        <v>1</v>
      </c>
      <c r="D148" s="193"/>
      <c r="E148" s="193"/>
      <c r="F148" s="193"/>
      <c r="G148" s="194">
        <f t="shared" ref="G148:J148" si="68">G149</f>
        <v>1835.9</v>
      </c>
      <c r="H148" s="194">
        <f>H149</f>
        <v>3900.7740000000003</v>
      </c>
      <c r="I148" s="194">
        <f t="shared" si="68"/>
        <v>3900.7776800000001</v>
      </c>
      <c r="J148" s="194">
        <f t="shared" si="68"/>
        <v>3537.9704300000003</v>
      </c>
      <c r="K148" s="187">
        <f t="shared" si="46"/>
        <v>3.6799999998038402E-3</v>
      </c>
      <c r="L148" s="187">
        <f t="shared" si="54"/>
        <v>100.00009434025144</v>
      </c>
      <c r="M148" s="187">
        <f t="shared" si="47"/>
        <v>-362.80724999999984</v>
      </c>
      <c r="N148" s="187">
        <f t="shared" si="55"/>
        <v>90.699104646230438</v>
      </c>
      <c r="O148" s="187">
        <f t="shared" si="48"/>
        <v>192.71041069775043</v>
      </c>
      <c r="P148" s="187">
        <f t="shared" si="49"/>
        <v>90.699190211993823</v>
      </c>
      <c r="Q148" s="187">
        <f t="shared" si="50"/>
        <v>2064.8740000000003</v>
      </c>
      <c r="R148" s="187">
        <f t="shared" si="51"/>
        <v>212.47203006699712</v>
      </c>
      <c r="S148" s="187">
        <f t="shared" si="67"/>
        <v>2.6203187380456554</v>
      </c>
    </row>
    <row r="149" spans="1:19" s="204" customFormat="1" ht="21" customHeight="1" x14ac:dyDescent="0.3">
      <c r="A149" s="126" t="s">
        <v>370</v>
      </c>
      <c r="B149" s="127">
        <v>4</v>
      </c>
      <c r="C149" s="128">
        <v>1</v>
      </c>
      <c r="D149" s="196" t="s">
        <v>371</v>
      </c>
      <c r="E149" s="197"/>
      <c r="F149" s="197"/>
      <c r="G149" s="198">
        <f t="shared" ref="G149:J149" si="69">G150+G156+G161</f>
        <v>1835.9</v>
      </c>
      <c r="H149" s="198">
        <f>H150+H156+H161</f>
        <v>3900.7740000000003</v>
      </c>
      <c r="I149" s="198">
        <f t="shared" si="69"/>
        <v>3900.7776800000001</v>
      </c>
      <c r="J149" s="198">
        <f t="shared" si="69"/>
        <v>3537.9704300000003</v>
      </c>
      <c r="K149" s="199">
        <f t="shared" si="46"/>
        <v>3.6799999998038402E-3</v>
      </c>
      <c r="L149" s="199">
        <f t="shared" si="54"/>
        <v>100.00009434025144</v>
      </c>
      <c r="M149" s="199">
        <f t="shared" si="47"/>
        <v>-362.80724999999984</v>
      </c>
      <c r="N149" s="199">
        <f t="shared" si="55"/>
        <v>90.699104646230438</v>
      </c>
      <c r="O149" s="199">
        <f t="shared" si="48"/>
        <v>192.71041069775043</v>
      </c>
      <c r="P149" s="199">
        <f t="shared" si="49"/>
        <v>90.699190211993823</v>
      </c>
      <c r="Q149" s="199">
        <f t="shared" si="50"/>
        <v>2064.8740000000003</v>
      </c>
      <c r="R149" s="199">
        <f t="shared" si="51"/>
        <v>212.47203006699712</v>
      </c>
      <c r="S149" s="199">
        <f t="shared" si="67"/>
        <v>2.6203187380456554</v>
      </c>
    </row>
    <row r="150" spans="1:19" s="204" customFormat="1" ht="39.75" customHeight="1" x14ac:dyDescent="0.3">
      <c r="A150" s="126" t="s">
        <v>431</v>
      </c>
      <c r="B150" s="127">
        <v>4</v>
      </c>
      <c r="C150" s="195">
        <v>1</v>
      </c>
      <c r="D150" s="196" t="s">
        <v>432</v>
      </c>
      <c r="E150" s="197"/>
      <c r="F150" s="197"/>
      <c r="G150" s="198">
        <f t="shared" ref="G150:J152" si="70">G151</f>
        <v>1835.9</v>
      </c>
      <c r="H150" s="198">
        <f>H151</f>
        <v>2211.7820000000002</v>
      </c>
      <c r="I150" s="198">
        <f t="shared" si="70"/>
        <v>2211.7820000000002</v>
      </c>
      <c r="J150" s="198">
        <f t="shared" si="70"/>
        <v>1848.9747500000001</v>
      </c>
      <c r="K150" s="199">
        <f t="shared" si="46"/>
        <v>0</v>
      </c>
      <c r="L150" s="199">
        <f t="shared" si="54"/>
        <v>100</v>
      </c>
      <c r="M150" s="199">
        <f t="shared" si="47"/>
        <v>-362.80725000000007</v>
      </c>
      <c r="N150" s="199">
        <f t="shared" si="55"/>
        <v>83.596608978642564</v>
      </c>
      <c r="O150" s="199">
        <f t="shared" si="48"/>
        <v>100.71217114221906</v>
      </c>
      <c r="P150" s="199">
        <f t="shared" si="49"/>
        <v>83.596608978642564</v>
      </c>
      <c r="Q150" s="199">
        <f t="shared" si="50"/>
        <v>375.88200000000006</v>
      </c>
      <c r="R150" s="199">
        <f t="shared" si="51"/>
        <v>120.47399095811319</v>
      </c>
      <c r="S150" s="199">
        <f t="shared" si="67"/>
        <v>1.3694018306417222</v>
      </c>
    </row>
    <row r="151" spans="1:19" s="204" customFormat="1" ht="30" customHeight="1" x14ac:dyDescent="0.3">
      <c r="A151" s="126" t="s">
        <v>433</v>
      </c>
      <c r="B151" s="127">
        <v>4</v>
      </c>
      <c r="C151" s="195">
        <v>1</v>
      </c>
      <c r="D151" s="197" t="s">
        <v>434</v>
      </c>
      <c r="E151" s="197"/>
      <c r="F151" s="197"/>
      <c r="G151" s="198">
        <f>G152+G155</f>
        <v>1835.9</v>
      </c>
      <c r="H151" s="198">
        <f>H152</f>
        <v>2211.7820000000002</v>
      </c>
      <c r="I151" s="198">
        <f t="shared" si="70"/>
        <v>2211.7820000000002</v>
      </c>
      <c r="J151" s="198">
        <f t="shared" si="70"/>
        <v>1848.9747500000001</v>
      </c>
      <c r="K151" s="199">
        <f t="shared" si="46"/>
        <v>0</v>
      </c>
      <c r="L151" s="199">
        <f t="shared" si="54"/>
        <v>100</v>
      </c>
      <c r="M151" s="199">
        <f t="shared" si="47"/>
        <v>-362.80725000000007</v>
      </c>
      <c r="N151" s="199">
        <f t="shared" si="55"/>
        <v>83.596608978642564</v>
      </c>
      <c r="O151" s="199">
        <f t="shared" si="48"/>
        <v>100.71217114221906</v>
      </c>
      <c r="P151" s="199">
        <f t="shared" si="49"/>
        <v>83.596608978642564</v>
      </c>
      <c r="Q151" s="199">
        <f t="shared" si="50"/>
        <v>375.88200000000006</v>
      </c>
      <c r="R151" s="199">
        <f t="shared" si="51"/>
        <v>120.47399095811319</v>
      </c>
      <c r="S151" s="199">
        <f t="shared" si="67"/>
        <v>1.3694018306417222</v>
      </c>
    </row>
    <row r="152" spans="1:19" s="204" customFormat="1" ht="39.75" customHeight="1" x14ac:dyDescent="0.3">
      <c r="A152" s="201" t="s">
        <v>435</v>
      </c>
      <c r="B152" s="127">
        <v>4</v>
      </c>
      <c r="C152" s="195">
        <v>1</v>
      </c>
      <c r="D152" s="197" t="s">
        <v>434</v>
      </c>
      <c r="E152" s="197">
        <v>600</v>
      </c>
      <c r="F152" s="197"/>
      <c r="G152" s="198">
        <f t="shared" si="70"/>
        <v>1335.2</v>
      </c>
      <c r="H152" s="198">
        <f>H153</f>
        <v>2211.7820000000002</v>
      </c>
      <c r="I152" s="198">
        <f t="shared" si="70"/>
        <v>2211.7820000000002</v>
      </c>
      <c r="J152" s="198">
        <f t="shared" si="70"/>
        <v>1848.9747500000001</v>
      </c>
      <c r="K152" s="199">
        <f t="shared" si="46"/>
        <v>0</v>
      </c>
      <c r="L152" s="199">
        <f t="shared" si="54"/>
        <v>100</v>
      </c>
      <c r="M152" s="199">
        <f t="shared" si="47"/>
        <v>-362.80725000000007</v>
      </c>
      <c r="N152" s="199">
        <f t="shared" si="55"/>
        <v>83.596608978642564</v>
      </c>
      <c r="O152" s="199">
        <f t="shared" si="48"/>
        <v>138.47923532055123</v>
      </c>
      <c r="P152" s="199">
        <f t="shared" si="49"/>
        <v>83.596608978642564</v>
      </c>
      <c r="Q152" s="199">
        <f t="shared" si="50"/>
        <v>876.58200000000011</v>
      </c>
      <c r="R152" s="199">
        <f t="shared" si="51"/>
        <v>165.65173756740563</v>
      </c>
      <c r="S152" s="199">
        <f t="shared" si="67"/>
        <v>1.3694018306417222</v>
      </c>
    </row>
    <row r="153" spans="1:19" s="204" customFormat="1" ht="19.5" customHeight="1" x14ac:dyDescent="0.3">
      <c r="A153" s="201" t="s">
        <v>436</v>
      </c>
      <c r="B153" s="127">
        <v>4</v>
      </c>
      <c r="C153" s="195">
        <v>1</v>
      </c>
      <c r="D153" s="197" t="s">
        <v>434</v>
      </c>
      <c r="E153" s="197">
        <v>610</v>
      </c>
      <c r="F153" s="197"/>
      <c r="G153" s="198">
        <v>1335.2</v>
      </c>
      <c r="H153" s="198">
        <f>'[4]приложение №3 (5) 2022г.'!G111</f>
        <v>2211.7820000000002</v>
      </c>
      <c r="I153" s="198">
        <f>I154</f>
        <v>2211.7820000000002</v>
      </c>
      <c r="J153" s="198">
        <f>J154</f>
        <v>1848.9747500000001</v>
      </c>
      <c r="K153" s="199">
        <f t="shared" si="46"/>
        <v>0</v>
      </c>
      <c r="L153" s="199">
        <f t="shared" si="54"/>
        <v>100</v>
      </c>
      <c r="M153" s="199">
        <f t="shared" si="47"/>
        <v>-362.80725000000007</v>
      </c>
      <c r="N153" s="199">
        <f t="shared" si="55"/>
        <v>83.596608978642564</v>
      </c>
      <c r="O153" s="199">
        <f t="shared" si="48"/>
        <v>138.47923532055123</v>
      </c>
      <c r="P153" s="199">
        <f t="shared" si="49"/>
        <v>83.596608978642564</v>
      </c>
      <c r="Q153" s="199">
        <f t="shared" si="50"/>
        <v>876.58200000000011</v>
      </c>
      <c r="R153" s="199">
        <f t="shared" si="51"/>
        <v>165.65173756740563</v>
      </c>
      <c r="S153" s="199">
        <f t="shared" si="67"/>
        <v>1.3694018306417222</v>
      </c>
    </row>
    <row r="154" spans="1:19" s="204" customFormat="1" x14ac:dyDescent="0.3">
      <c r="A154" s="201"/>
      <c r="B154" s="127">
        <v>4</v>
      </c>
      <c r="C154" s="195">
        <v>1</v>
      </c>
      <c r="D154" s="197" t="s">
        <v>434</v>
      </c>
      <c r="E154" s="197">
        <v>612</v>
      </c>
      <c r="F154" s="197">
        <v>241</v>
      </c>
      <c r="G154" s="198"/>
      <c r="H154" s="198"/>
      <c r="I154" s="198">
        <v>2211.7820000000002</v>
      </c>
      <c r="J154" s="198">
        <v>1848.9747500000001</v>
      </c>
      <c r="K154" s="199"/>
      <c r="L154" s="199"/>
      <c r="M154" s="199"/>
      <c r="N154" s="199"/>
      <c r="O154" s="199"/>
      <c r="P154" s="199"/>
      <c r="Q154" s="199"/>
      <c r="R154" s="199"/>
      <c r="S154" s="199"/>
    </row>
    <row r="155" spans="1:19" s="204" customFormat="1" ht="18.75" customHeight="1" x14ac:dyDescent="0.3">
      <c r="A155" s="201"/>
      <c r="B155" s="127">
        <v>4</v>
      </c>
      <c r="C155" s="195">
        <v>1</v>
      </c>
      <c r="D155" s="197" t="s">
        <v>434</v>
      </c>
      <c r="E155" s="197">
        <v>810</v>
      </c>
      <c r="F155" s="197"/>
      <c r="G155" s="198">
        <v>500.7</v>
      </c>
      <c r="H155" s="198"/>
      <c r="I155" s="198"/>
      <c r="J155" s="198"/>
      <c r="K155" s="199">
        <f t="shared" ref="K155" si="71">I155-H155</f>
        <v>0</v>
      </c>
      <c r="L155" s="199"/>
      <c r="M155" s="199">
        <f t="shared" ref="M155" si="72">J155-I155</f>
        <v>0</v>
      </c>
      <c r="N155" s="199"/>
      <c r="O155" s="199">
        <f t="shared" ref="O155" si="73">J155/G155*100</f>
        <v>0</v>
      </c>
      <c r="P155" s="199"/>
      <c r="Q155" s="199">
        <f t="shared" ref="Q155" si="74">H155-G155</f>
        <v>-500.7</v>
      </c>
      <c r="R155" s="199">
        <f t="shared" ref="R155" si="75">H155/G155*100</f>
        <v>0</v>
      </c>
      <c r="S155" s="199">
        <f>J155/$J$355*100</f>
        <v>0</v>
      </c>
    </row>
    <row r="156" spans="1:19" s="204" customFormat="1" ht="42" customHeight="1" x14ac:dyDescent="0.3">
      <c r="A156" s="114" t="s">
        <v>437</v>
      </c>
      <c r="B156" s="127">
        <v>4</v>
      </c>
      <c r="C156" s="195">
        <v>1</v>
      </c>
      <c r="D156" s="196" t="s">
        <v>438</v>
      </c>
      <c r="E156" s="197"/>
      <c r="F156" s="197"/>
      <c r="G156" s="198">
        <f t="shared" ref="G156:J158" si="76">G157</f>
        <v>0</v>
      </c>
      <c r="H156" s="198">
        <f t="shared" si="76"/>
        <v>1560.4</v>
      </c>
      <c r="I156" s="198">
        <f t="shared" si="76"/>
        <v>1560.4028699999999</v>
      </c>
      <c r="J156" s="198">
        <f t="shared" si="76"/>
        <v>1560.4028699999999</v>
      </c>
      <c r="K156" s="199">
        <f t="shared" si="46"/>
        <v>2.8699999998025305E-3</v>
      </c>
      <c r="L156" s="199">
        <f t="shared" si="54"/>
        <v>100.00018392719814</v>
      </c>
      <c r="M156" s="199">
        <f t="shared" si="47"/>
        <v>0</v>
      </c>
      <c r="N156" s="199">
        <f t="shared" si="55"/>
        <v>100</v>
      </c>
      <c r="O156" s="199"/>
      <c r="P156" s="199">
        <f t="shared" si="49"/>
        <v>100.00018392719814</v>
      </c>
      <c r="Q156" s="199">
        <f t="shared" si="50"/>
        <v>1560.4</v>
      </c>
      <c r="R156" s="199"/>
      <c r="S156" s="199">
        <f>J156/$J$355*100</f>
        <v>1.1556775162649446</v>
      </c>
    </row>
    <row r="157" spans="1:19" s="204" customFormat="1" ht="27" customHeight="1" x14ac:dyDescent="0.3">
      <c r="A157" s="126" t="s">
        <v>439</v>
      </c>
      <c r="B157" s="127">
        <v>4</v>
      </c>
      <c r="C157" s="195">
        <v>1</v>
      </c>
      <c r="D157" s="197" t="s">
        <v>440</v>
      </c>
      <c r="E157" s="197"/>
      <c r="F157" s="197"/>
      <c r="G157" s="198">
        <f t="shared" si="76"/>
        <v>0</v>
      </c>
      <c r="H157" s="198">
        <f t="shared" si="76"/>
        <v>1560.4</v>
      </c>
      <c r="I157" s="198">
        <f t="shared" si="76"/>
        <v>1560.4028699999999</v>
      </c>
      <c r="J157" s="198">
        <f t="shared" si="76"/>
        <v>1560.4028699999999</v>
      </c>
      <c r="K157" s="199">
        <f t="shared" si="46"/>
        <v>2.8699999998025305E-3</v>
      </c>
      <c r="L157" s="199">
        <f t="shared" si="54"/>
        <v>100.00018392719814</v>
      </c>
      <c r="M157" s="199">
        <f t="shared" si="47"/>
        <v>0</v>
      </c>
      <c r="N157" s="199">
        <f t="shared" si="55"/>
        <v>100</v>
      </c>
      <c r="O157" s="199"/>
      <c r="P157" s="199">
        <f t="shared" si="49"/>
        <v>100.00018392719814</v>
      </c>
      <c r="Q157" s="199">
        <f t="shared" si="50"/>
        <v>1560.4</v>
      </c>
      <c r="R157" s="199"/>
      <c r="S157" s="199">
        <f>J157/$J$355*100</f>
        <v>1.1556775162649446</v>
      </c>
    </row>
    <row r="158" spans="1:19" s="204" customFormat="1" ht="35.25" customHeight="1" x14ac:dyDescent="0.3">
      <c r="A158" s="201" t="s">
        <v>435</v>
      </c>
      <c r="B158" s="127">
        <v>4</v>
      </c>
      <c r="C158" s="195">
        <v>1</v>
      </c>
      <c r="D158" s="197" t="s">
        <v>440</v>
      </c>
      <c r="E158" s="197">
        <v>600</v>
      </c>
      <c r="F158" s="197"/>
      <c r="G158" s="198">
        <f t="shared" si="76"/>
        <v>0</v>
      </c>
      <c r="H158" s="198">
        <f t="shared" si="76"/>
        <v>1560.4</v>
      </c>
      <c r="I158" s="198">
        <f t="shared" si="76"/>
        <v>1560.4028699999999</v>
      </c>
      <c r="J158" s="198">
        <f t="shared" si="76"/>
        <v>1560.4028699999999</v>
      </c>
      <c r="K158" s="199">
        <f t="shared" si="46"/>
        <v>2.8699999998025305E-3</v>
      </c>
      <c r="L158" s="199">
        <f t="shared" si="54"/>
        <v>100.00018392719814</v>
      </c>
      <c r="M158" s="199">
        <f t="shared" si="47"/>
        <v>0</v>
      </c>
      <c r="N158" s="199">
        <f t="shared" si="55"/>
        <v>100</v>
      </c>
      <c r="O158" s="199"/>
      <c r="P158" s="199">
        <f t="shared" si="49"/>
        <v>100.00018392719814</v>
      </c>
      <c r="Q158" s="199">
        <f t="shared" si="50"/>
        <v>1560.4</v>
      </c>
      <c r="R158" s="199"/>
      <c r="S158" s="199">
        <f>J158/$J$355*100</f>
        <v>1.1556775162649446</v>
      </c>
    </row>
    <row r="159" spans="1:19" s="204" customFormat="1" x14ac:dyDescent="0.3">
      <c r="A159" s="201" t="s">
        <v>436</v>
      </c>
      <c r="B159" s="127">
        <v>4</v>
      </c>
      <c r="C159" s="195">
        <v>1</v>
      </c>
      <c r="D159" s="197" t="s">
        <v>440</v>
      </c>
      <c r="E159" s="197">
        <v>610</v>
      </c>
      <c r="F159" s="197"/>
      <c r="G159" s="198"/>
      <c r="H159" s="198">
        <f>'[4]приложение №3 (5) 2022г.'!G115</f>
        <v>1560.4</v>
      </c>
      <c r="I159" s="198">
        <f>I160</f>
        <v>1560.4028699999999</v>
      </c>
      <c r="J159" s="198">
        <f>J160</f>
        <v>1560.4028699999999</v>
      </c>
      <c r="K159" s="199">
        <f t="shared" si="46"/>
        <v>2.8699999998025305E-3</v>
      </c>
      <c r="L159" s="199">
        <f t="shared" si="54"/>
        <v>100.00018392719814</v>
      </c>
      <c r="M159" s="199">
        <f t="shared" si="47"/>
        <v>0</v>
      </c>
      <c r="N159" s="199">
        <f t="shared" si="55"/>
        <v>100</v>
      </c>
      <c r="O159" s="199"/>
      <c r="P159" s="199">
        <f t="shared" si="49"/>
        <v>100.00018392719814</v>
      </c>
      <c r="Q159" s="199">
        <f t="shared" si="50"/>
        <v>1560.4</v>
      </c>
      <c r="R159" s="199"/>
      <c r="S159" s="199">
        <f>J159/$J$355*100</f>
        <v>1.1556775162649446</v>
      </c>
    </row>
    <row r="160" spans="1:19" s="204" customFormat="1" ht="21" customHeight="1" x14ac:dyDescent="0.3">
      <c r="A160" s="201"/>
      <c r="B160" s="127">
        <v>4</v>
      </c>
      <c r="C160" s="195">
        <v>1</v>
      </c>
      <c r="D160" s="197" t="s">
        <v>440</v>
      </c>
      <c r="E160" s="197">
        <v>612</v>
      </c>
      <c r="F160" s="197">
        <v>241</v>
      </c>
      <c r="G160" s="198"/>
      <c r="H160" s="198"/>
      <c r="I160" s="198">
        <v>1560.4028699999999</v>
      </c>
      <c r="J160" s="198">
        <v>1560.4028699999999</v>
      </c>
      <c r="K160" s="199"/>
      <c r="L160" s="199"/>
      <c r="M160" s="199"/>
      <c r="N160" s="199"/>
      <c r="O160" s="199"/>
      <c r="P160" s="199"/>
      <c r="Q160" s="199"/>
      <c r="R160" s="199"/>
      <c r="S160" s="199"/>
    </row>
    <row r="161" spans="1:19" s="204" customFormat="1" ht="72" customHeight="1" x14ac:dyDescent="0.3">
      <c r="A161" s="126" t="s">
        <v>441</v>
      </c>
      <c r="B161" s="127">
        <v>4</v>
      </c>
      <c r="C161" s="195">
        <v>1</v>
      </c>
      <c r="D161" s="196" t="s">
        <v>442</v>
      </c>
      <c r="E161" s="197"/>
      <c r="F161" s="197"/>
      <c r="G161" s="198">
        <f t="shared" ref="G161:J163" si="77">G162</f>
        <v>0</v>
      </c>
      <c r="H161" s="198">
        <f t="shared" si="77"/>
        <v>128.59200000000001</v>
      </c>
      <c r="I161" s="198">
        <f t="shared" si="77"/>
        <v>128.59280999999999</v>
      </c>
      <c r="J161" s="198">
        <f t="shared" si="77"/>
        <v>128.59280999999999</v>
      </c>
      <c r="K161" s="199">
        <f t="shared" si="46"/>
        <v>8.0999999997288796E-4</v>
      </c>
      <c r="L161" s="199">
        <f t="shared" si="54"/>
        <v>100.00062989921609</v>
      </c>
      <c r="M161" s="199">
        <f t="shared" si="47"/>
        <v>0</v>
      </c>
      <c r="N161" s="199">
        <f t="shared" si="55"/>
        <v>100</v>
      </c>
      <c r="O161" s="199"/>
      <c r="P161" s="199">
        <f t="shared" si="49"/>
        <v>100.00062989921609</v>
      </c>
      <c r="Q161" s="199">
        <f t="shared" si="50"/>
        <v>128.59200000000001</v>
      </c>
      <c r="R161" s="199"/>
      <c r="S161" s="199">
        <f>J161/$J$355*100</f>
        <v>9.5239391138988314E-2</v>
      </c>
    </row>
    <row r="162" spans="1:19" s="204" customFormat="1" ht="27" customHeight="1" x14ac:dyDescent="0.3">
      <c r="A162" s="126" t="s">
        <v>439</v>
      </c>
      <c r="B162" s="127">
        <v>4</v>
      </c>
      <c r="C162" s="195">
        <v>1</v>
      </c>
      <c r="D162" s="197" t="s">
        <v>443</v>
      </c>
      <c r="E162" s="197"/>
      <c r="F162" s="197"/>
      <c r="G162" s="198">
        <f t="shared" si="77"/>
        <v>0</v>
      </c>
      <c r="H162" s="198">
        <f t="shared" si="77"/>
        <v>128.59200000000001</v>
      </c>
      <c r="I162" s="198">
        <f t="shared" si="77"/>
        <v>128.59280999999999</v>
      </c>
      <c r="J162" s="198">
        <f t="shared" si="77"/>
        <v>128.59280999999999</v>
      </c>
      <c r="K162" s="199">
        <f t="shared" si="46"/>
        <v>8.0999999997288796E-4</v>
      </c>
      <c r="L162" s="199">
        <f t="shared" si="54"/>
        <v>100.00062989921609</v>
      </c>
      <c r="M162" s="199">
        <f t="shared" si="47"/>
        <v>0</v>
      </c>
      <c r="N162" s="199">
        <f t="shared" si="55"/>
        <v>100</v>
      </c>
      <c r="O162" s="199"/>
      <c r="P162" s="199">
        <f t="shared" si="49"/>
        <v>100.00062989921609</v>
      </c>
      <c r="Q162" s="199">
        <f t="shared" si="50"/>
        <v>128.59200000000001</v>
      </c>
      <c r="R162" s="199"/>
      <c r="S162" s="199">
        <f>J162/$J$355*100</f>
        <v>9.5239391138988314E-2</v>
      </c>
    </row>
    <row r="163" spans="1:19" s="204" customFormat="1" ht="35.25" customHeight="1" x14ac:dyDescent="0.3">
      <c r="A163" s="201" t="s">
        <v>435</v>
      </c>
      <c r="B163" s="127">
        <v>4</v>
      </c>
      <c r="C163" s="195">
        <v>1</v>
      </c>
      <c r="D163" s="197" t="s">
        <v>443</v>
      </c>
      <c r="E163" s="197">
        <v>600</v>
      </c>
      <c r="F163" s="197"/>
      <c r="G163" s="198">
        <f t="shared" si="77"/>
        <v>0</v>
      </c>
      <c r="H163" s="198">
        <f t="shared" si="77"/>
        <v>128.59200000000001</v>
      </c>
      <c r="I163" s="198">
        <f t="shared" si="77"/>
        <v>128.59280999999999</v>
      </c>
      <c r="J163" s="198">
        <f t="shared" si="77"/>
        <v>128.59280999999999</v>
      </c>
      <c r="K163" s="199">
        <f t="shared" si="46"/>
        <v>8.0999999997288796E-4</v>
      </c>
      <c r="L163" s="199">
        <f t="shared" si="54"/>
        <v>100.00062989921609</v>
      </c>
      <c r="M163" s="199">
        <f t="shared" si="47"/>
        <v>0</v>
      </c>
      <c r="N163" s="199">
        <f t="shared" si="55"/>
        <v>100</v>
      </c>
      <c r="O163" s="199"/>
      <c r="P163" s="199">
        <f t="shared" si="49"/>
        <v>100.00062989921609</v>
      </c>
      <c r="Q163" s="199">
        <f t="shared" si="50"/>
        <v>128.59200000000001</v>
      </c>
      <c r="R163" s="199"/>
      <c r="S163" s="199">
        <f>J163/$J$355*100</f>
        <v>9.5239391138988314E-2</v>
      </c>
    </row>
    <row r="164" spans="1:19" s="204" customFormat="1" ht="15.75" customHeight="1" x14ac:dyDescent="0.3">
      <c r="A164" s="201" t="s">
        <v>436</v>
      </c>
      <c r="B164" s="127">
        <v>4</v>
      </c>
      <c r="C164" s="195">
        <v>1</v>
      </c>
      <c r="D164" s="197" t="s">
        <v>443</v>
      </c>
      <c r="E164" s="197">
        <v>610</v>
      </c>
      <c r="F164" s="197"/>
      <c r="G164" s="198"/>
      <c r="H164" s="198">
        <f>'[4]приложение №3 (5) 2022г.'!G119</f>
        <v>128.59200000000001</v>
      </c>
      <c r="I164" s="198">
        <f>I165</f>
        <v>128.59280999999999</v>
      </c>
      <c r="J164" s="198">
        <f>J165</f>
        <v>128.59280999999999</v>
      </c>
      <c r="K164" s="199">
        <f t="shared" si="46"/>
        <v>8.0999999997288796E-4</v>
      </c>
      <c r="L164" s="199">
        <f t="shared" si="54"/>
        <v>100.00062989921609</v>
      </c>
      <c r="M164" s="199">
        <f t="shared" si="47"/>
        <v>0</v>
      </c>
      <c r="N164" s="199">
        <f t="shared" si="55"/>
        <v>100</v>
      </c>
      <c r="O164" s="199"/>
      <c r="P164" s="199">
        <f t="shared" si="49"/>
        <v>100.00062989921609</v>
      </c>
      <c r="Q164" s="199">
        <f t="shared" si="50"/>
        <v>128.59200000000001</v>
      </c>
      <c r="R164" s="199"/>
      <c r="S164" s="199">
        <f>J164/$J$355*100</f>
        <v>9.5239391138988314E-2</v>
      </c>
    </row>
    <row r="165" spans="1:19" s="204" customFormat="1" ht="15.75" customHeight="1" x14ac:dyDescent="0.3">
      <c r="A165" s="201"/>
      <c r="B165" s="127">
        <v>4</v>
      </c>
      <c r="C165" s="195">
        <v>1</v>
      </c>
      <c r="D165" s="197" t="s">
        <v>443</v>
      </c>
      <c r="E165" s="197">
        <v>612</v>
      </c>
      <c r="F165" s="197">
        <v>241</v>
      </c>
      <c r="G165" s="198"/>
      <c r="H165" s="198"/>
      <c r="I165" s="198">
        <v>128.59280999999999</v>
      </c>
      <c r="J165" s="198">
        <v>128.59280999999999</v>
      </c>
      <c r="K165" s="199"/>
      <c r="L165" s="199"/>
      <c r="M165" s="199"/>
      <c r="N165" s="199"/>
      <c r="O165" s="199"/>
      <c r="P165" s="199"/>
      <c r="Q165" s="199"/>
      <c r="R165" s="199"/>
      <c r="S165" s="199"/>
    </row>
    <row r="166" spans="1:19" s="230" customFormat="1" ht="18.75" customHeight="1" x14ac:dyDescent="0.3">
      <c r="A166" s="189" t="s">
        <v>329</v>
      </c>
      <c r="B166" s="190">
        <v>4</v>
      </c>
      <c r="C166" s="191">
        <v>5</v>
      </c>
      <c r="D166" s="193"/>
      <c r="E166" s="193"/>
      <c r="F166" s="193"/>
      <c r="G166" s="194">
        <f t="shared" ref="G166:J170" si="78">G167</f>
        <v>0</v>
      </c>
      <c r="H166" s="194">
        <f>H167</f>
        <v>400</v>
      </c>
      <c r="I166" s="194">
        <f t="shared" si="78"/>
        <v>400</v>
      </c>
      <c r="J166" s="194">
        <f t="shared" si="78"/>
        <v>400</v>
      </c>
      <c r="K166" s="187">
        <f t="shared" si="46"/>
        <v>0</v>
      </c>
      <c r="L166" s="187">
        <f t="shared" si="54"/>
        <v>100</v>
      </c>
      <c r="M166" s="187">
        <f t="shared" si="47"/>
        <v>0</v>
      </c>
      <c r="N166" s="187">
        <f t="shared" si="55"/>
        <v>100</v>
      </c>
      <c r="O166" s="187"/>
      <c r="P166" s="187">
        <f t="shared" si="49"/>
        <v>100</v>
      </c>
      <c r="Q166" s="187">
        <f t="shared" si="50"/>
        <v>400</v>
      </c>
      <c r="R166" s="187"/>
      <c r="S166" s="187">
        <f t="shared" ref="S166:S171" si="79">J166/$J$355*100</f>
        <v>0.29625106143644681</v>
      </c>
    </row>
    <row r="167" spans="1:19" s="204" customFormat="1" ht="19.5" customHeight="1" x14ac:dyDescent="0.3">
      <c r="A167" s="126" t="s">
        <v>370</v>
      </c>
      <c r="B167" s="127">
        <v>4</v>
      </c>
      <c r="C167" s="128">
        <v>5</v>
      </c>
      <c r="D167" s="197" t="s">
        <v>371</v>
      </c>
      <c r="E167" s="197"/>
      <c r="F167" s="197"/>
      <c r="G167" s="198">
        <f t="shared" si="78"/>
        <v>0</v>
      </c>
      <c r="H167" s="198">
        <f>H168</f>
        <v>400</v>
      </c>
      <c r="I167" s="198">
        <f t="shared" si="78"/>
        <v>400</v>
      </c>
      <c r="J167" s="198">
        <f t="shared" si="78"/>
        <v>400</v>
      </c>
      <c r="K167" s="199">
        <f t="shared" si="46"/>
        <v>0</v>
      </c>
      <c r="L167" s="199">
        <f t="shared" si="54"/>
        <v>100</v>
      </c>
      <c r="M167" s="199">
        <f t="shared" si="47"/>
        <v>0</v>
      </c>
      <c r="N167" s="199">
        <f t="shared" si="55"/>
        <v>100</v>
      </c>
      <c r="O167" s="199"/>
      <c r="P167" s="199">
        <f t="shared" si="49"/>
        <v>100</v>
      </c>
      <c r="Q167" s="199">
        <f t="shared" si="50"/>
        <v>400</v>
      </c>
      <c r="R167" s="199"/>
      <c r="S167" s="199">
        <f t="shared" si="79"/>
        <v>0.29625106143644681</v>
      </c>
    </row>
    <row r="168" spans="1:19" s="204" customFormat="1" ht="18" customHeight="1" x14ac:dyDescent="0.3">
      <c r="A168" s="126" t="s">
        <v>444</v>
      </c>
      <c r="B168" s="127">
        <v>4</v>
      </c>
      <c r="C168" s="128">
        <v>5</v>
      </c>
      <c r="D168" s="197" t="s">
        <v>445</v>
      </c>
      <c r="E168" s="197"/>
      <c r="F168" s="197"/>
      <c r="G168" s="198">
        <f t="shared" si="78"/>
        <v>0</v>
      </c>
      <c r="H168" s="198">
        <f>H169</f>
        <v>400</v>
      </c>
      <c r="I168" s="198">
        <f t="shared" si="78"/>
        <v>400</v>
      </c>
      <c r="J168" s="198">
        <f t="shared" si="78"/>
        <v>400</v>
      </c>
      <c r="K168" s="199">
        <f t="shared" si="46"/>
        <v>0</v>
      </c>
      <c r="L168" s="199">
        <f t="shared" si="54"/>
        <v>100</v>
      </c>
      <c r="M168" s="199">
        <f t="shared" si="47"/>
        <v>0</v>
      </c>
      <c r="N168" s="199">
        <f t="shared" si="55"/>
        <v>100</v>
      </c>
      <c r="O168" s="199"/>
      <c r="P168" s="199">
        <f t="shared" si="49"/>
        <v>100</v>
      </c>
      <c r="Q168" s="199">
        <f t="shared" si="50"/>
        <v>400</v>
      </c>
      <c r="R168" s="199"/>
      <c r="S168" s="199">
        <f t="shared" si="79"/>
        <v>0.29625106143644681</v>
      </c>
    </row>
    <row r="169" spans="1:19" s="204" customFormat="1" ht="36.75" customHeight="1" x14ac:dyDescent="0.3">
      <c r="A169" s="126" t="s">
        <v>446</v>
      </c>
      <c r="B169" s="127">
        <v>4</v>
      </c>
      <c r="C169" s="195">
        <v>5</v>
      </c>
      <c r="D169" s="232" t="s">
        <v>447</v>
      </c>
      <c r="E169" s="197"/>
      <c r="F169" s="197"/>
      <c r="G169" s="198">
        <f t="shared" si="78"/>
        <v>0</v>
      </c>
      <c r="H169" s="198">
        <f>H170</f>
        <v>400</v>
      </c>
      <c r="I169" s="198">
        <f t="shared" si="78"/>
        <v>400</v>
      </c>
      <c r="J169" s="198">
        <f t="shared" si="78"/>
        <v>400</v>
      </c>
      <c r="K169" s="199">
        <f t="shared" si="46"/>
        <v>0</v>
      </c>
      <c r="L169" s="199">
        <f t="shared" si="54"/>
        <v>100</v>
      </c>
      <c r="M169" s="199">
        <f t="shared" si="47"/>
        <v>0</v>
      </c>
      <c r="N169" s="199">
        <f t="shared" si="55"/>
        <v>100</v>
      </c>
      <c r="O169" s="199"/>
      <c r="P169" s="199">
        <f t="shared" si="49"/>
        <v>100</v>
      </c>
      <c r="Q169" s="199">
        <f t="shared" si="50"/>
        <v>400</v>
      </c>
      <c r="R169" s="199"/>
      <c r="S169" s="199">
        <f t="shared" si="79"/>
        <v>0.29625106143644681</v>
      </c>
    </row>
    <row r="170" spans="1:19" s="204" customFormat="1" ht="26.25" customHeight="1" x14ac:dyDescent="0.3">
      <c r="A170" s="201" t="s">
        <v>448</v>
      </c>
      <c r="B170" s="127">
        <v>4</v>
      </c>
      <c r="C170" s="195">
        <v>5</v>
      </c>
      <c r="D170" s="197" t="s">
        <v>447</v>
      </c>
      <c r="E170" s="197">
        <v>200</v>
      </c>
      <c r="F170" s="197"/>
      <c r="G170" s="198">
        <f t="shared" si="78"/>
        <v>0</v>
      </c>
      <c r="H170" s="198">
        <f>H171</f>
        <v>400</v>
      </c>
      <c r="I170" s="198">
        <f t="shared" si="78"/>
        <v>400</v>
      </c>
      <c r="J170" s="198">
        <f t="shared" si="78"/>
        <v>400</v>
      </c>
      <c r="K170" s="199">
        <f t="shared" si="46"/>
        <v>0</v>
      </c>
      <c r="L170" s="199">
        <f t="shared" si="54"/>
        <v>100</v>
      </c>
      <c r="M170" s="199">
        <f t="shared" si="47"/>
        <v>0</v>
      </c>
      <c r="N170" s="199">
        <f t="shared" si="55"/>
        <v>100</v>
      </c>
      <c r="O170" s="199"/>
      <c r="P170" s="199">
        <f t="shared" si="49"/>
        <v>100</v>
      </c>
      <c r="Q170" s="199">
        <f t="shared" si="50"/>
        <v>400</v>
      </c>
      <c r="R170" s="199"/>
      <c r="S170" s="199">
        <f t="shared" si="79"/>
        <v>0.29625106143644681</v>
      </c>
    </row>
    <row r="171" spans="1:19" s="204" customFormat="1" ht="37.5" customHeight="1" x14ac:dyDescent="0.3">
      <c r="A171" s="201" t="s">
        <v>395</v>
      </c>
      <c r="B171" s="127">
        <v>4</v>
      </c>
      <c r="C171" s="195">
        <v>5</v>
      </c>
      <c r="D171" s="197" t="s">
        <v>447</v>
      </c>
      <c r="E171" s="197">
        <v>240</v>
      </c>
      <c r="F171" s="197"/>
      <c r="G171" s="198"/>
      <c r="H171" s="198">
        <f>'[4]приложение №3 (5) 2022г.'!G125</f>
        <v>400</v>
      </c>
      <c r="I171" s="198">
        <f>I172</f>
        <v>400</v>
      </c>
      <c r="J171" s="198">
        <f>J172</f>
        <v>400</v>
      </c>
      <c r="K171" s="199">
        <f t="shared" si="46"/>
        <v>0</v>
      </c>
      <c r="L171" s="199">
        <f t="shared" si="54"/>
        <v>100</v>
      </c>
      <c r="M171" s="199">
        <f t="shared" si="47"/>
        <v>0</v>
      </c>
      <c r="N171" s="199">
        <f t="shared" si="55"/>
        <v>100</v>
      </c>
      <c r="O171" s="199"/>
      <c r="P171" s="199">
        <f t="shared" si="49"/>
        <v>100</v>
      </c>
      <c r="Q171" s="199">
        <f t="shared" si="50"/>
        <v>400</v>
      </c>
      <c r="R171" s="199"/>
      <c r="S171" s="199">
        <f t="shared" si="79"/>
        <v>0.29625106143644681</v>
      </c>
    </row>
    <row r="172" spans="1:19" s="204" customFormat="1" ht="16.5" customHeight="1" x14ac:dyDescent="0.3">
      <c r="A172" s="201"/>
      <c r="B172" s="127">
        <v>4</v>
      </c>
      <c r="C172" s="195">
        <v>5</v>
      </c>
      <c r="D172" s="197" t="s">
        <v>447</v>
      </c>
      <c r="E172" s="197">
        <v>244</v>
      </c>
      <c r="F172" s="197">
        <v>226</v>
      </c>
      <c r="G172" s="198"/>
      <c r="H172" s="198"/>
      <c r="I172" s="198">
        <v>400</v>
      </c>
      <c r="J172" s="198">
        <v>400</v>
      </c>
      <c r="K172" s="199"/>
      <c r="L172" s="199"/>
      <c r="M172" s="199"/>
      <c r="N172" s="199"/>
      <c r="O172" s="199"/>
      <c r="P172" s="199"/>
      <c r="Q172" s="199"/>
      <c r="R172" s="199"/>
      <c r="S172" s="199"/>
    </row>
    <row r="173" spans="1:19" s="230" customFormat="1" ht="19.5" customHeight="1" x14ac:dyDescent="0.3">
      <c r="A173" s="189" t="s">
        <v>449</v>
      </c>
      <c r="B173" s="190">
        <v>4</v>
      </c>
      <c r="C173" s="191" t="s">
        <v>322</v>
      </c>
      <c r="D173" s="193"/>
      <c r="E173" s="193"/>
      <c r="F173" s="193"/>
      <c r="G173" s="194">
        <f t="shared" ref="G173:J173" si="80">G174</f>
        <v>4834.7000000000007</v>
      </c>
      <c r="H173" s="194">
        <f>H174</f>
        <v>7161.7210000000005</v>
      </c>
      <c r="I173" s="194">
        <f t="shared" si="80"/>
        <v>7161.7205899999999</v>
      </c>
      <c r="J173" s="194">
        <f t="shared" si="80"/>
        <v>6410.9988800000001</v>
      </c>
      <c r="K173" s="187">
        <f t="shared" si="46"/>
        <v>-4.1000000055646524E-4</v>
      </c>
      <c r="L173" s="187">
        <f t="shared" si="54"/>
        <v>99.999994275119064</v>
      </c>
      <c r="M173" s="187">
        <f t="shared" si="47"/>
        <v>-750.7217099999998</v>
      </c>
      <c r="N173" s="187">
        <f t="shared" si="55"/>
        <v>89.517578903479674</v>
      </c>
      <c r="O173" s="187">
        <f t="shared" si="48"/>
        <v>132.603861253025</v>
      </c>
      <c r="P173" s="187">
        <f t="shared" si="49"/>
        <v>89.517573778704858</v>
      </c>
      <c r="Q173" s="187">
        <f t="shared" si="50"/>
        <v>2327.0209999999997</v>
      </c>
      <c r="R173" s="187">
        <f t="shared" si="51"/>
        <v>148.13165242931308</v>
      </c>
      <c r="S173" s="187">
        <f t="shared" ref="S173:S178" si="81">J173/$J$355*100</f>
        <v>4.7481630576696787</v>
      </c>
    </row>
    <row r="174" spans="1:19" s="204" customFormat="1" ht="51" customHeight="1" x14ac:dyDescent="0.3">
      <c r="A174" s="126" t="s">
        <v>450</v>
      </c>
      <c r="B174" s="127">
        <v>4</v>
      </c>
      <c r="C174" s="128" t="s">
        <v>322</v>
      </c>
      <c r="D174" s="197" t="s">
        <v>451</v>
      </c>
      <c r="E174" s="197"/>
      <c r="F174" s="197"/>
      <c r="G174" s="198">
        <f t="shared" ref="G174:J174" si="82">G175+G181</f>
        <v>4834.7000000000007</v>
      </c>
      <c r="H174" s="198">
        <f>H175+H181</f>
        <v>7161.7210000000005</v>
      </c>
      <c r="I174" s="198">
        <f t="shared" si="82"/>
        <v>7161.7205899999999</v>
      </c>
      <c r="J174" s="198">
        <f t="shared" si="82"/>
        <v>6410.9988800000001</v>
      </c>
      <c r="K174" s="199">
        <f t="shared" si="46"/>
        <v>-4.1000000055646524E-4</v>
      </c>
      <c r="L174" s="199">
        <f t="shared" si="54"/>
        <v>99.999994275119064</v>
      </c>
      <c r="M174" s="199">
        <f t="shared" si="47"/>
        <v>-750.7217099999998</v>
      </c>
      <c r="N174" s="199">
        <f t="shared" si="55"/>
        <v>89.517578903479674</v>
      </c>
      <c r="O174" s="199">
        <f t="shared" si="48"/>
        <v>132.603861253025</v>
      </c>
      <c r="P174" s="199">
        <f t="shared" si="49"/>
        <v>89.517573778704858</v>
      </c>
      <c r="Q174" s="199">
        <f t="shared" si="50"/>
        <v>2327.0209999999997</v>
      </c>
      <c r="R174" s="199">
        <f t="shared" si="51"/>
        <v>148.13165242931308</v>
      </c>
      <c r="S174" s="199">
        <f t="shared" si="81"/>
        <v>4.7481630576696787</v>
      </c>
    </row>
    <row r="175" spans="1:19" s="204" customFormat="1" ht="26.25" customHeight="1" x14ac:dyDescent="0.3">
      <c r="A175" s="126" t="s">
        <v>452</v>
      </c>
      <c r="B175" s="127">
        <v>4</v>
      </c>
      <c r="C175" s="195" t="s">
        <v>322</v>
      </c>
      <c r="D175" s="197" t="s">
        <v>453</v>
      </c>
      <c r="E175" s="197"/>
      <c r="F175" s="197"/>
      <c r="G175" s="198">
        <f t="shared" ref="G175:J177" si="83">G176</f>
        <v>4207.6000000000004</v>
      </c>
      <c r="H175" s="198">
        <f>H176</f>
        <v>4403.0600000000004</v>
      </c>
      <c r="I175" s="198">
        <f t="shared" si="83"/>
        <v>4403.0595899999998</v>
      </c>
      <c r="J175" s="198">
        <f t="shared" si="83"/>
        <v>3652.5378799999999</v>
      </c>
      <c r="K175" s="199">
        <f t="shared" si="46"/>
        <v>-4.1000000055646524E-4</v>
      </c>
      <c r="L175" s="199">
        <f t="shared" si="54"/>
        <v>99.999990688294034</v>
      </c>
      <c r="M175" s="199">
        <f t="shared" si="47"/>
        <v>-750.52170999999998</v>
      </c>
      <c r="N175" s="199">
        <f t="shared" si="55"/>
        <v>82.954541162591894</v>
      </c>
      <c r="O175" s="199">
        <f t="shared" si="48"/>
        <v>86.808106283867275</v>
      </c>
      <c r="P175" s="199">
        <f t="shared" si="49"/>
        <v>82.954533438108939</v>
      </c>
      <c r="Q175" s="199">
        <f t="shared" si="50"/>
        <v>195.46000000000004</v>
      </c>
      <c r="R175" s="199">
        <f t="shared" si="51"/>
        <v>104.64540355547105</v>
      </c>
      <c r="S175" s="199">
        <f t="shared" si="81"/>
        <v>2.7051705597170725</v>
      </c>
    </row>
    <row r="176" spans="1:19" ht="20.25" customHeight="1" x14ac:dyDescent="0.2">
      <c r="A176" s="126" t="s">
        <v>402</v>
      </c>
      <c r="B176" s="127">
        <v>4</v>
      </c>
      <c r="C176" s="195" t="s">
        <v>322</v>
      </c>
      <c r="D176" s="197" t="s">
        <v>454</v>
      </c>
      <c r="E176" s="197"/>
      <c r="F176" s="197"/>
      <c r="G176" s="198">
        <f t="shared" si="83"/>
        <v>4207.6000000000004</v>
      </c>
      <c r="H176" s="198">
        <f>H177</f>
        <v>4403.0600000000004</v>
      </c>
      <c r="I176" s="198">
        <f t="shared" si="83"/>
        <v>4403.0595899999998</v>
      </c>
      <c r="J176" s="198">
        <f t="shared" si="83"/>
        <v>3652.5378799999999</v>
      </c>
      <c r="K176" s="199">
        <f t="shared" si="46"/>
        <v>-4.1000000055646524E-4</v>
      </c>
      <c r="L176" s="199">
        <f t="shared" si="54"/>
        <v>99.999990688294034</v>
      </c>
      <c r="M176" s="199">
        <f t="shared" si="47"/>
        <v>-750.52170999999998</v>
      </c>
      <c r="N176" s="199">
        <f t="shared" si="55"/>
        <v>82.954541162591894</v>
      </c>
      <c r="O176" s="199">
        <f t="shared" si="48"/>
        <v>86.808106283867275</v>
      </c>
      <c r="P176" s="199">
        <f t="shared" si="49"/>
        <v>82.954533438108939</v>
      </c>
      <c r="Q176" s="199">
        <f t="shared" si="50"/>
        <v>195.46000000000004</v>
      </c>
      <c r="R176" s="199">
        <f t="shared" si="51"/>
        <v>104.64540355547105</v>
      </c>
      <c r="S176" s="199">
        <f t="shared" si="81"/>
        <v>2.7051705597170725</v>
      </c>
    </row>
    <row r="177" spans="1:19" ht="24" customHeight="1" x14ac:dyDescent="0.2">
      <c r="A177" s="205" t="s">
        <v>394</v>
      </c>
      <c r="B177" s="127">
        <v>4</v>
      </c>
      <c r="C177" s="195" t="s">
        <v>322</v>
      </c>
      <c r="D177" s="197" t="s">
        <v>454</v>
      </c>
      <c r="E177" s="197">
        <v>200</v>
      </c>
      <c r="F177" s="197"/>
      <c r="G177" s="198">
        <f t="shared" si="83"/>
        <v>4207.6000000000004</v>
      </c>
      <c r="H177" s="198">
        <f>H178</f>
        <v>4403.0600000000004</v>
      </c>
      <c r="I177" s="198">
        <f t="shared" si="83"/>
        <v>4403.0595899999998</v>
      </c>
      <c r="J177" s="198">
        <f t="shared" si="83"/>
        <v>3652.5378799999999</v>
      </c>
      <c r="K177" s="199">
        <f t="shared" si="46"/>
        <v>-4.1000000055646524E-4</v>
      </c>
      <c r="L177" s="199">
        <f t="shared" si="54"/>
        <v>99.999990688294034</v>
      </c>
      <c r="M177" s="199">
        <f t="shared" si="47"/>
        <v>-750.52170999999998</v>
      </c>
      <c r="N177" s="199">
        <f t="shared" si="55"/>
        <v>82.954541162591894</v>
      </c>
      <c r="O177" s="199">
        <f t="shared" si="48"/>
        <v>86.808106283867275</v>
      </c>
      <c r="P177" s="199">
        <f t="shared" si="49"/>
        <v>82.954533438108939</v>
      </c>
      <c r="Q177" s="199">
        <f t="shared" si="50"/>
        <v>195.46000000000004</v>
      </c>
      <c r="R177" s="199">
        <f t="shared" si="51"/>
        <v>104.64540355547105</v>
      </c>
      <c r="S177" s="199">
        <f t="shared" si="81"/>
        <v>2.7051705597170725</v>
      </c>
    </row>
    <row r="178" spans="1:19" ht="39" customHeight="1" x14ac:dyDescent="0.2">
      <c r="A178" s="201" t="s">
        <v>395</v>
      </c>
      <c r="B178" s="127">
        <v>4</v>
      </c>
      <c r="C178" s="195" t="s">
        <v>322</v>
      </c>
      <c r="D178" s="232" t="s">
        <v>454</v>
      </c>
      <c r="E178" s="197">
        <v>240</v>
      </c>
      <c r="F178" s="197"/>
      <c r="G178" s="198">
        <v>4207.6000000000004</v>
      </c>
      <c r="H178" s="198">
        <f>'[4]приложение №3 (5) 2022г.'!G131</f>
        <v>4403.0600000000004</v>
      </c>
      <c r="I178" s="198">
        <f>I179+I180</f>
        <v>4403.0595899999998</v>
      </c>
      <c r="J178" s="198">
        <f>J179+J180</f>
        <v>3652.5378799999999</v>
      </c>
      <c r="K178" s="199">
        <f t="shared" si="46"/>
        <v>-4.1000000055646524E-4</v>
      </c>
      <c r="L178" s="199">
        <f t="shared" si="54"/>
        <v>99.999990688294034</v>
      </c>
      <c r="M178" s="199">
        <f t="shared" si="47"/>
        <v>-750.52170999999998</v>
      </c>
      <c r="N178" s="199">
        <f t="shared" si="55"/>
        <v>82.954541162591894</v>
      </c>
      <c r="O178" s="199">
        <f t="shared" si="48"/>
        <v>86.808106283867275</v>
      </c>
      <c r="P178" s="199">
        <f t="shared" si="49"/>
        <v>82.954533438108939</v>
      </c>
      <c r="Q178" s="199">
        <f t="shared" si="50"/>
        <v>195.46000000000004</v>
      </c>
      <c r="R178" s="199">
        <f t="shared" si="51"/>
        <v>104.64540355547105</v>
      </c>
      <c r="S178" s="199">
        <f t="shared" si="81"/>
        <v>2.7051705597170725</v>
      </c>
    </row>
    <row r="179" spans="1:19" ht="17.25" customHeight="1" x14ac:dyDescent="0.2">
      <c r="A179" s="201"/>
      <c r="B179" s="127">
        <v>4</v>
      </c>
      <c r="C179" s="195" t="s">
        <v>322</v>
      </c>
      <c r="D179" s="232" t="s">
        <v>454</v>
      </c>
      <c r="E179" s="197">
        <v>244</v>
      </c>
      <c r="F179" s="197">
        <v>225</v>
      </c>
      <c r="G179" s="198"/>
      <c r="H179" s="198"/>
      <c r="I179" s="198">
        <v>4353.85959</v>
      </c>
      <c r="J179" s="198">
        <v>3603.33788</v>
      </c>
      <c r="K179" s="199"/>
      <c r="L179" s="199"/>
      <c r="M179" s="199"/>
      <c r="N179" s="199"/>
      <c r="O179" s="199"/>
      <c r="P179" s="199"/>
      <c r="Q179" s="199"/>
      <c r="R179" s="199"/>
      <c r="S179" s="199"/>
    </row>
    <row r="180" spans="1:19" ht="17.25" customHeight="1" x14ac:dyDescent="0.2">
      <c r="A180" s="201"/>
      <c r="B180" s="127">
        <v>4</v>
      </c>
      <c r="C180" s="195" t="s">
        <v>322</v>
      </c>
      <c r="D180" s="232" t="s">
        <v>454</v>
      </c>
      <c r="E180" s="197">
        <v>244</v>
      </c>
      <c r="F180" s="197">
        <v>346</v>
      </c>
      <c r="G180" s="198"/>
      <c r="H180" s="198"/>
      <c r="I180" s="198">
        <v>49.2</v>
      </c>
      <c r="J180" s="198">
        <v>49.2</v>
      </c>
      <c r="K180" s="199"/>
      <c r="L180" s="199"/>
      <c r="M180" s="199"/>
      <c r="N180" s="199"/>
      <c r="O180" s="199"/>
      <c r="P180" s="199"/>
      <c r="Q180" s="199"/>
      <c r="R180" s="199"/>
      <c r="S180" s="199"/>
    </row>
    <row r="181" spans="1:19" s="204" customFormat="1" ht="36" customHeight="1" x14ac:dyDescent="0.3">
      <c r="A181" s="233" t="s">
        <v>455</v>
      </c>
      <c r="B181" s="127">
        <v>4</v>
      </c>
      <c r="C181" s="128" t="s">
        <v>322</v>
      </c>
      <c r="D181" s="197" t="s">
        <v>456</v>
      </c>
      <c r="E181" s="197"/>
      <c r="F181" s="197"/>
      <c r="G181" s="198">
        <f t="shared" ref="G181:J181" si="84">G182+G186</f>
        <v>627.1</v>
      </c>
      <c r="H181" s="198">
        <f>H182+H186</f>
        <v>2758.6610000000001</v>
      </c>
      <c r="I181" s="198">
        <f t="shared" si="84"/>
        <v>2758.6610000000001</v>
      </c>
      <c r="J181" s="198">
        <f t="shared" si="84"/>
        <v>2758.4610000000002</v>
      </c>
      <c r="K181" s="199">
        <f t="shared" si="46"/>
        <v>0</v>
      </c>
      <c r="L181" s="199">
        <f t="shared" si="54"/>
        <v>100</v>
      </c>
      <c r="M181" s="199">
        <f t="shared" si="47"/>
        <v>-0.1999999999998181</v>
      </c>
      <c r="N181" s="199">
        <f t="shared" si="55"/>
        <v>99.992750105939081</v>
      </c>
      <c r="O181" s="199">
        <f t="shared" si="48"/>
        <v>439.87577738797643</v>
      </c>
      <c r="P181" s="199">
        <f t="shared" si="49"/>
        <v>99.992750105939081</v>
      </c>
      <c r="Q181" s="199">
        <f t="shared" si="50"/>
        <v>2131.5610000000001</v>
      </c>
      <c r="R181" s="199">
        <f t="shared" si="51"/>
        <v>439.90767022803379</v>
      </c>
      <c r="S181" s="199">
        <f>J181/$J$355*100</f>
        <v>2.0429924979526062</v>
      </c>
    </row>
    <row r="182" spans="1:19" ht="39" customHeight="1" x14ac:dyDescent="0.2">
      <c r="A182" s="233" t="s">
        <v>457</v>
      </c>
      <c r="B182" s="127">
        <v>4</v>
      </c>
      <c r="C182" s="195" t="s">
        <v>322</v>
      </c>
      <c r="D182" s="197" t="s">
        <v>458</v>
      </c>
      <c r="E182" s="197"/>
      <c r="F182" s="197"/>
      <c r="G182" s="198">
        <f t="shared" ref="G182:J183" si="85">G183</f>
        <v>0</v>
      </c>
      <c r="H182" s="198">
        <f t="shared" si="85"/>
        <v>1218</v>
      </c>
      <c r="I182" s="198">
        <f t="shared" si="85"/>
        <v>1218</v>
      </c>
      <c r="J182" s="198">
        <f t="shared" si="85"/>
        <v>1218</v>
      </c>
      <c r="K182" s="199">
        <f t="shared" si="46"/>
        <v>0</v>
      </c>
      <c r="L182" s="199">
        <f t="shared" si="54"/>
        <v>100</v>
      </c>
      <c r="M182" s="199">
        <f t="shared" si="47"/>
        <v>0</v>
      </c>
      <c r="N182" s="199">
        <f t="shared" si="55"/>
        <v>100</v>
      </c>
      <c r="O182" s="199"/>
      <c r="P182" s="199">
        <f t="shared" si="49"/>
        <v>100</v>
      </c>
      <c r="Q182" s="199">
        <f t="shared" si="50"/>
        <v>1218</v>
      </c>
      <c r="R182" s="199"/>
      <c r="S182" s="199">
        <f>J182/$J$355*100</f>
        <v>0.9020844820739804</v>
      </c>
    </row>
    <row r="183" spans="1:19" ht="33.75" customHeight="1" x14ac:dyDescent="0.2">
      <c r="A183" s="234" t="s">
        <v>394</v>
      </c>
      <c r="B183" s="127">
        <v>4</v>
      </c>
      <c r="C183" s="195" t="s">
        <v>322</v>
      </c>
      <c r="D183" s="197" t="s">
        <v>458</v>
      </c>
      <c r="E183" s="197">
        <v>200</v>
      </c>
      <c r="F183" s="197"/>
      <c r="G183" s="198">
        <f t="shared" si="85"/>
        <v>0</v>
      </c>
      <c r="H183" s="198">
        <f t="shared" si="85"/>
        <v>1218</v>
      </c>
      <c r="I183" s="198">
        <f t="shared" si="85"/>
        <v>1218</v>
      </c>
      <c r="J183" s="198">
        <f t="shared" si="85"/>
        <v>1218</v>
      </c>
      <c r="K183" s="199">
        <f t="shared" si="46"/>
        <v>0</v>
      </c>
      <c r="L183" s="199">
        <f t="shared" si="54"/>
        <v>100</v>
      </c>
      <c r="M183" s="199">
        <f t="shared" si="47"/>
        <v>0</v>
      </c>
      <c r="N183" s="199">
        <f t="shared" si="55"/>
        <v>100</v>
      </c>
      <c r="O183" s="199"/>
      <c r="P183" s="199">
        <f t="shared" si="49"/>
        <v>100</v>
      </c>
      <c r="Q183" s="199">
        <f t="shared" si="50"/>
        <v>1218</v>
      </c>
      <c r="R183" s="199"/>
      <c r="S183" s="199">
        <f>J183/$J$355*100</f>
        <v>0.9020844820739804</v>
      </c>
    </row>
    <row r="184" spans="1:19" ht="42.75" customHeight="1" x14ac:dyDescent="0.2">
      <c r="A184" s="201" t="s">
        <v>395</v>
      </c>
      <c r="B184" s="127">
        <v>4</v>
      </c>
      <c r="C184" s="195" t="s">
        <v>322</v>
      </c>
      <c r="D184" s="232" t="s">
        <v>458</v>
      </c>
      <c r="E184" s="197">
        <v>240</v>
      </c>
      <c r="F184" s="197"/>
      <c r="G184" s="198"/>
      <c r="H184" s="198">
        <f>'[4]приложение №3 (5) 2022г.'!G135</f>
        <v>1218</v>
      </c>
      <c r="I184" s="198">
        <f>I185</f>
        <v>1218</v>
      </c>
      <c r="J184" s="198">
        <f>J185</f>
        <v>1218</v>
      </c>
      <c r="K184" s="199">
        <f t="shared" si="46"/>
        <v>0</v>
      </c>
      <c r="L184" s="199">
        <f t="shared" si="54"/>
        <v>100</v>
      </c>
      <c r="M184" s="199">
        <f t="shared" si="47"/>
        <v>0</v>
      </c>
      <c r="N184" s="199">
        <f t="shared" si="55"/>
        <v>100</v>
      </c>
      <c r="O184" s="199"/>
      <c r="P184" s="199">
        <f t="shared" si="49"/>
        <v>100</v>
      </c>
      <c r="Q184" s="199">
        <f t="shared" si="50"/>
        <v>1218</v>
      </c>
      <c r="R184" s="199"/>
      <c r="S184" s="199">
        <f>J184/$J$355*100</f>
        <v>0.9020844820739804</v>
      </c>
    </row>
    <row r="185" spans="1:19" ht="21" customHeight="1" x14ac:dyDescent="0.2">
      <c r="A185" s="201"/>
      <c r="B185" s="127">
        <v>4</v>
      </c>
      <c r="C185" s="195" t="s">
        <v>322</v>
      </c>
      <c r="D185" s="232" t="s">
        <v>458</v>
      </c>
      <c r="E185" s="197">
        <v>244</v>
      </c>
      <c r="F185" s="197">
        <v>225</v>
      </c>
      <c r="G185" s="198"/>
      <c r="H185" s="198"/>
      <c r="I185" s="198">
        <v>1218</v>
      </c>
      <c r="J185" s="198">
        <v>1218</v>
      </c>
      <c r="K185" s="199"/>
      <c r="L185" s="199"/>
      <c r="M185" s="199"/>
      <c r="N185" s="199"/>
      <c r="O185" s="199"/>
      <c r="P185" s="199"/>
      <c r="Q185" s="199"/>
      <c r="R185" s="199"/>
      <c r="S185" s="199"/>
    </row>
    <row r="186" spans="1:19" ht="42.75" customHeight="1" x14ac:dyDescent="0.2">
      <c r="A186" s="233" t="s">
        <v>459</v>
      </c>
      <c r="B186" s="127">
        <v>4</v>
      </c>
      <c r="C186" s="195" t="s">
        <v>322</v>
      </c>
      <c r="D186" s="197" t="s">
        <v>460</v>
      </c>
      <c r="E186" s="197"/>
      <c r="F186" s="197"/>
      <c r="G186" s="198">
        <f t="shared" ref="G186:J187" si="86">G187</f>
        <v>627.1</v>
      </c>
      <c r="H186" s="198">
        <f t="shared" si="86"/>
        <v>1540.6610000000001</v>
      </c>
      <c r="I186" s="198">
        <f t="shared" si="86"/>
        <v>1540.6610000000001</v>
      </c>
      <c r="J186" s="198">
        <f t="shared" si="86"/>
        <v>1540.461</v>
      </c>
      <c r="K186" s="199">
        <f t="shared" si="46"/>
        <v>0</v>
      </c>
      <c r="L186" s="199">
        <f t="shared" si="54"/>
        <v>100</v>
      </c>
      <c r="M186" s="199">
        <f t="shared" si="47"/>
        <v>-0.20000000000004547</v>
      </c>
      <c r="N186" s="199">
        <f t="shared" si="55"/>
        <v>99.987018558917242</v>
      </c>
      <c r="O186" s="199">
        <f t="shared" si="48"/>
        <v>245.64838143836707</v>
      </c>
      <c r="P186" s="199">
        <f t="shared" si="49"/>
        <v>99.987018558917242</v>
      </c>
      <c r="Q186" s="199">
        <f t="shared" si="50"/>
        <v>913.56100000000004</v>
      </c>
      <c r="R186" s="199">
        <f t="shared" si="51"/>
        <v>245.68027427842449</v>
      </c>
      <c r="S186" s="199">
        <f>J186/$J$355*100</f>
        <v>1.1409080158786258</v>
      </c>
    </row>
    <row r="187" spans="1:19" ht="30" customHeight="1" x14ac:dyDescent="0.2">
      <c r="A187" s="205" t="s">
        <v>394</v>
      </c>
      <c r="B187" s="127">
        <v>4</v>
      </c>
      <c r="C187" s="195" t="s">
        <v>322</v>
      </c>
      <c r="D187" s="197" t="s">
        <v>460</v>
      </c>
      <c r="E187" s="197">
        <v>200</v>
      </c>
      <c r="F187" s="197"/>
      <c r="G187" s="198">
        <f t="shared" si="86"/>
        <v>627.1</v>
      </c>
      <c r="H187" s="198">
        <f t="shared" si="86"/>
        <v>1540.6610000000001</v>
      </c>
      <c r="I187" s="198">
        <f t="shared" si="86"/>
        <v>1540.6610000000001</v>
      </c>
      <c r="J187" s="198">
        <f t="shared" si="86"/>
        <v>1540.461</v>
      </c>
      <c r="K187" s="199">
        <f t="shared" si="46"/>
        <v>0</v>
      </c>
      <c r="L187" s="199">
        <f t="shared" si="54"/>
        <v>100</v>
      </c>
      <c r="M187" s="199">
        <f t="shared" si="47"/>
        <v>-0.20000000000004547</v>
      </c>
      <c r="N187" s="199">
        <f t="shared" si="55"/>
        <v>99.987018558917242</v>
      </c>
      <c r="O187" s="199">
        <f t="shared" si="48"/>
        <v>245.64838143836707</v>
      </c>
      <c r="P187" s="199">
        <f t="shared" si="49"/>
        <v>99.987018558917242</v>
      </c>
      <c r="Q187" s="199">
        <f t="shared" si="50"/>
        <v>913.56100000000004</v>
      </c>
      <c r="R187" s="199">
        <f t="shared" si="51"/>
        <v>245.68027427842449</v>
      </c>
      <c r="S187" s="199">
        <f>J187/$J$355*100</f>
        <v>1.1409080158786258</v>
      </c>
    </row>
    <row r="188" spans="1:19" ht="39.75" customHeight="1" x14ac:dyDescent="0.2">
      <c r="A188" s="201" t="s">
        <v>395</v>
      </c>
      <c r="B188" s="127">
        <v>4</v>
      </c>
      <c r="C188" s="195" t="s">
        <v>322</v>
      </c>
      <c r="D188" s="232" t="s">
        <v>460</v>
      </c>
      <c r="E188" s="197">
        <v>240</v>
      </c>
      <c r="F188" s="197"/>
      <c r="G188" s="198">
        <v>627.1</v>
      </c>
      <c r="H188" s="198">
        <f>'[4]приложение №3 (5) 2022г.'!G138</f>
        <v>1540.6610000000001</v>
      </c>
      <c r="I188" s="198">
        <f>I189+I190</f>
        <v>1540.6610000000001</v>
      </c>
      <c r="J188" s="198">
        <f>J189+J190</f>
        <v>1540.461</v>
      </c>
      <c r="K188" s="199">
        <f t="shared" si="46"/>
        <v>0</v>
      </c>
      <c r="L188" s="199">
        <f t="shared" si="54"/>
        <v>100</v>
      </c>
      <c r="M188" s="199">
        <f t="shared" si="47"/>
        <v>-0.20000000000004547</v>
      </c>
      <c r="N188" s="199">
        <f t="shared" si="55"/>
        <v>99.987018558917242</v>
      </c>
      <c r="O188" s="199">
        <f t="shared" si="48"/>
        <v>245.64838143836707</v>
      </c>
      <c r="P188" s="199">
        <f t="shared" si="49"/>
        <v>99.987018558917242</v>
      </c>
      <c r="Q188" s="199">
        <f t="shared" si="50"/>
        <v>913.56100000000004</v>
      </c>
      <c r="R188" s="199">
        <f t="shared" si="51"/>
        <v>245.68027427842449</v>
      </c>
      <c r="S188" s="199">
        <f>J188/$J$355*100</f>
        <v>1.1409080158786258</v>
      </c>
    </row>
    <row r="189" spans="1:19" ht="18" customHeight="1" x14ac:dyDescent="0.2">
      <c r="A189" s="201"/>
      <c r="B189" s="127">
        <v>4</v>
      </c>
      <c r="C189" s="195" t="s">
        <v>322</v>
      </c>
      <c r="D189" s="232" t="s">
        <v>460</v>
      </c>
      <c r="E189" s="197">
        <v>244</v>
      </c>
      <c r="F189" s="197">
        <v>225</v>
      </c>
      <c r="G189" s="198"/>
      <c r="H189" s="198"/>
      <c r="I189" s="198">
        <v>1353.5</v>
      </c>
      <c r="J189" s="198">
        <v>1353.3</v>
      </c>
      <c r="K189" s="199"/>
      <c r="L189" s="199"/>
      <c r="M189" s="199"/>
      <c r="N189" s="199"/>
      <c r="O189" s="199"/>
      <c r="P189" s="199"/>
      <c r="Q189" s="199"/>
      <c r="R189" s="199"/>
      <c r="S189" s="199"/>
    </row>
    <row r="190" spans="1:19" ht="14.25" customHeight="1" x14ac:dyDescent="0.2">
      <c r="A190" s="201"/>
      <c r="B190" s="127">
        <v>4</v>
      </c>
      <c r="C190" s="195" t="s">
        <v>322</v>
      </c>
      <c r="D190" s="232" t="s">
        <v>460</v>
      </c>
      <c r="E190" s="197">
        <v>244</v>
      </c>
      <c r="F190" s="197">
        <v>228</v>
      </c>
      <c r="G190" s="198"/>
      <c r="H190" s="198"/>
      <c r="I190" s="198">
        <v>187.161</v>
      </c>
      <c r="J190" s="198">
        <v>187.161</v>
      </c>
      <c r="K190" s="199"/>
      <c r="L190" s="199"/>
      <c r="M190" s="199"/>
      <c r="N190" s="199"/>
      <c r="O190" s="199"/>
      <c r="P190" s="199"/>
      <c r="Q190" s="199"/>
      <c r="R190" s="199"/>
      <c r="S190" s="199"/>
    </row>
    <row r="191" spans="1:19" s="188" customFormat="1" ht="19.5" customHeight="1" x14ac:dyDescent="0.25">
      <c r="A191" s="189" t="s">
        <v>461</v>
      </c>
      <c r="B191" s="190">
        <v>4</v>
      </c>
      <c r="C191" s="191">
        <v>10</v>
      </c>
      <c r="D191" s="193"/>
      <c r="E191" s="193"/>
      <c r="F191" s="193"/>
      <c r="G191" s="194">
        <f t="shared" ref="G191:J192" si="87">G192</f>
        <v>400</v>
      </c>
      <c r="H191" s="194">
        <f t="shared" si="87"/>
        <v>1141.4190000000001</v>
      </c>
      <c r="I191" s="194">
        <f t="shared" si="87"/>
        <v>1141.4188100000001</v>
      </c>
      <c r="J191" s="194">
        <f t="shared" si="87"/>
        <v>852.26896999999997</v>
      </c>
      <c r="K191" s="187">
        <f t="shared" si="46"/>
        <v>-1.8999999997504347E-4</v>
      </c>
      <c r="L191" s="187">
        <f t="shared" si="54"/>
        <v>99.999983354053157</v>
      </c>
      <c r="M191" s="187">
        <f t="shared" si="47"/>
        <v>-289.14984000000015</v>
      </c>
      <c r="N191" s="187">
        <f t="shared" si="55"/>
        <v>74.667507012610031</v>
      </c>
      <c r="O191" s="187">
        <f t="shared" si="48"/>
        <v>213.06724249999996</v>
      </c>
      <c r="P191" s="187">
        <f t="shared" si="49"/>
        <v>74.667494583496492</v>
      </c>
      <c r="Q191" s="187">
        <f t="shared" si="50"/>
        <v>741.4190000000001</v>
      </c>
      <c r="R191" s="187">
        <f t="shared" si="51"/>
        <v>285.35475000000002</v>
      </c>
      <c r="S191" s="187">
        <f t="shared" ref="S191:S196" si="88">J191/$J$355*100</f>
        <v>0.631213967479618</v>
      </c>
    </row>
    <row r="192" spans="1:19" ht="21.75" customHeight="1" x14ac:dyDescent="0.2">
      <c r="A192" s="235" t="s">
        <v>370</v>
      </c>
      <c r="B192" s="127">
        <v>4</v>
      </c>
      <c r="C192" s="195">
        <v>10</v>
      </c>
      <c r="D192" s="197" t="s">
        <v>371</v>
      </c>
      <c r="E192" s="197"/>
      <c r="F192" s="197"/>
      <c r="G192" s="198">
        <f t="shared" si="87"/>
        <v>400</v>
      </c>
      <c r="H192" s="198">
        <f t="shared" si="87"/>
        <v>1141.4190000000001</v>
      </c>
      <c r="I192" s="198">
        <f t="shared" si="87"/>
        <v>1141.4188100000001</v>
      </c>
      <c r="J192" s="198">
        <f t="shared" si="87"/>
        <v>852.26896999999997</v>
      </c>
      <c r="K192" s="199">
        <f t="shared" si="46"/>
        <v>-1.8999999997504347E-4</v>
      </c>
      <c r="L192" s="199">
        <f t="shared" si="54"/>
        <v>99.999983354053157</v>
      </c>
      <c r="M192" s="199">
        <f t="shared" si="47"/>
        <v>-289.14984000000015</v>
      </c>
      <c r="N192" s="199">
        <f t="shared" si="55"/>
        <v>74.667507012610031</v>
      </c>
      <c r="O192" s="199">
        <f t="shared" si="48"/>
        <v>213.06724249999996</v>
      </c>
      <c r="P192" s="199">
        <f t="shared" si="49"/>
        <v>74.667494583496492</v>
      </c>
      <c r="Q192" s="199">
        <f t="shared" si="50"/>
        <v>741.4190000000001</v>
      </c>
      <c r="R192" s="199">
        <f t="shared" si="51"/>
        <v>285.35475000000002</v>
      </c>
      <c r="S192" s="199">
        <f t="shared" si="88"/>
        <v>0.631213967479618</v>
      </c>
    </row>
    <row r="193" spans="1:19" ht="39.75" customHeight="1" x14ac:dyDescent="0.2">
      <c r="A193" s="201" t="s">
        <v>372</v>
      </c>
      <c r="B193" s="127">
        <v>4</v>
      </c>
      <c r="C193" s="195">
        <v>10</v>
      </c>
      <c r="D193" s="236" t="s">
        <v>373</v>
      </c>
      <c r="E193" s="197"/>
      <c r="F193" s="197"/>
      <c r="G193" s="198">
        <f t="shared" ref="G193" si="89">G195</f>
        <v>400</v>
      </c>
      <c r="H193" s="198">
        <f>H195</f>
        <v>1141.4190000000001</v>
      </c>
      <c r="I193" s="198">
        <f t="shared" ref="I193:J193" si="90">I195</f>
        <v>1141.4188100000001</v>
      </c>
      <c r="J193" s="198">
        <f t="shared" si="90"/>
        <v>852.26896999999997</v>
      </c>
      <c r="K193" s="199">
        <f t="shared" si="46"/>
        <v>-1.8999999997504347E-4</v>
      </c>
      <c r="L193" s="199">
        <f t="shared" si="54"/>
        <v>99.999983354053157</v>
      </c>
      <c r="M193" s="199">
        <f t="shared" si="47"/>
        <v>-289.14984000000015</v>
      </c>
      <c r="N193" s="199">
        <f t="shared" si="55"/>
        <v>74.667507012610031</v>
      </c>
      <c r="O193" s="199">
        <f t="shared" si="48"/>
        <v>213.06724249999996</v>
      </c>
      <c r="P193" s="199">
        <f t="shared" si="49"/>
        <v>74.667494583496492</v>
      </c>
      <c r="Q193" s="199">
        <f t="shared" si="50"/>
        <v>741.4190000000001</v>
      </c>
      <c r="R193" s="199">
        <f t="shared" si="51"/>
        <v>285.35475000000002</v>
      </c>
      <c r="S193" s="199">
        <f t="shared" si="88"/>
        <v>0.631213967479618</v>
      </c>
    </row>
    <row r="194" spans="1:19" ht="51" customHeight="1" x14ac:dyDescent="0.2">
      <c r="A194" s="201" t="s">
        <v>397</v>
      </c>
      <c r="B194" s="127">
        <v>4</v>
      </c>
      <c r="C194" s="195">
        <v>10</v>
      </c>
      <c r="D194" s="197" t="s">
        <v>398</v>
      </c>
      <c r="E194" s="197"/>
      <c r="F194" s="197"/>
      <c r="G194" s="198">
        <f t="shared" ref="G194:J195" si="91">G195</f>
        <v>400</v>
      </c>
      <c r="H194" s="198">
        <f t="shared" si="91"/>
        <v>1141.4190000000001</v>
      </c>
      <c r="I194" s="198">
        <f t="shared" si="91"/>
        <v>1141.4188100000001</v>
      </c>
      <c r="J194" s="198">
        <f t="shared" si="91"/>
        <v>852.26896999999997</v>
      </c>
      <c r="K194" s="199">
        <f t="shared" si="46"/>
        <v>-1.8999999997504347E-4</v>
      </c>
      <c r="L194" s="199">
        <f t="shared" si="54"/>
        <v>99.999983354053157</v>
      </c>
      <c r="M194" s="199">
        <f t="shared" si="47"/>
        <v>-289.14984000000015</v>
      </c>
      <c r="N194" s="199">
        <f t="shared" si="55"/>
        <v>74.667507012610031</v>
      </c>
      <c r="O194" s="199">
        <f t="shared" si="48"/>
        <v>213.06724249999996</v>
      </c>
      <c r="P194" s="199">
        <f t="shared" si="49"/>
        <v>74.667494583496492</v>
      </c>
      <c r="Q194" s="199">
        <f t="shared" si="50"/>
        <v>741.4190000000001</v>
      </c>
      <c r="R194" s="199">
        <f t="shared" si="51"/>
        <v>285.35475000000002</v>
      </c>
      <c r="S194" s="199">
        <f t="shared" si="88"/>
        <v>0.631213967479618</v>
      </c>
    </row>
    <row r="195" spans="1:19" ht="33" customHeight="1" x14ac:dyDescent="0.2">
      <c r="A195" s="201" t="s">
        <v>399</v>
      </c>
      <c r="B195" s="127">
        <v>4</v>
      </c>
      <c r="C195" s="195">
        <v>10</v>
      </c>
      <c r="D195" s="197" t="s">
        <v>398</v>
      </c>
      <c r="E195" s="197">
        <v>200</v>
      </c>
      <c r="F195" s="197"/>
      <c r="G195" s="198">
        <f t="shared" si="91"/>
        <v>400</v>
      </c>
      <c r="H195" s="198">
        <f t="shared" si="91"/>
        <v>1141.4190000000001</v>
      </c>
      <c r="I195" s="198">
        <f t="shared" si="91"/>
        <v>1141.4188100000001</v>
      </c>
      <c r="J195" s="198">
        <f t="shared" si="91"/>
        <v>852.26896999999997</v>
      </c>
      <c r="K195" s="199">
        <f t="shared" si="46"/>
        <v>-1.8999999997504347E-4</v>
      </c>
      <c r="L195" s="199">
        <f t="shared" si="54"/>
        <v>99.999983354053157</v>
      </c>
      <c r="M195" s="199">
        <f t="shared" si="47"/>
        <v>-289.14984000000015</v>
      </c>
      <c r="N195" s="199">
        <f t="shared" si="55"/>
        <v>74.667507012610031</v>
      </c>
      <c r="O195" s="199">
        <f t="shared" si="48"/>
        <v>213.06724249999996</v>
      </c>
      <c r="P195" s="199">
        <f t="shared" si="49"/>
        <v>74.667494583496492</v>
      </c>
      <c r="Q195" s="199">
        <f t="shared" si="50"/>
        <v>741.4190000000001</v>
      </c>
      <c r="R195" s="199">
        <f t="shared" si="51"/>
        <v>285.35475000000002</v>
      </c>
      <c r="S195" s="199">
        <f t="shared" si="88"/>
        <v>0.631213967479618</v>
      </c>
    </row>
    <row r="196" spans="1:19" ht="41.25" customHeight="1" x14ac:dyDescent="0.2">
      <c r="A196" s="201" t="s">
        <v>395</v>
      </c>
      <c r="B196" s="127">
        <v>4</v>
      </c>
      <c r="C196" s="195">
        <v>10</v>
      </c>
      <c r="D196" s="197" t="s">
        <v>398</v>
      </c>
      <c r="E196" s="197">
        <v>240</v>
      </c>
      <c r="F196" s="197"/>
      <c r="G196" s="198">
        <v>400</v>
      </c>
      <c r="H196" s="198">
        <f>'[4]приложение №3 (5) 2022г.'!G144</f>
        <v>1141.4190000000001</v>
      </c>
      <c r="I196" s="198">
        <f>I197+I198+I199</f>
        <v>1141.4188100000001</v>
      </c>
      <c r="J196" s="198">
        <f>J197+J198+J199</f>
        <v>852.26896999999997</v>
      </c>
      <c r="K196" s="199">
        <f t="shared" si="46"/>
        <v>-1.8999999997504347E-4</v>
      </c>
      <c r="L196" s="199">
        <f t="shared" si="54"/>
        <v>99.999983354053157</v>
      </c>
      <c r="M196" s="199">
        <f t="shared" si="47"/>
        <v>-289.14984000000015</v>
      </c>
      <c r="N196" s="199">
        <f t="shared" si="55"/>
        <v>74.667507012610031</v>
      </c>
      <c r="O196" s="199">
        <f t="shared" si="48"/>
        <v>213.06724249999996</v>
      </c>
      <c r="P196" s="199">
        <f t="shared" si="49"/>
        <v>74.667494583496492</v>
      </c>
      <c r="Q196" s="199">
        <f t="shared" si="50"/>
        <v>741.4190000000001</v>
      </c>
      <c r="R196" s="199">
        <f t="shared" si="51"/>
        <v>285.35475000000002</v>
      </c>
      <c r="S196" s="199">
        <f t="shared" si="88"/>
        <v>0.631213967479618</v>
      </c>
    </row>
    <row r="197" spans="1:19" ht="19.5" customHeight="1" x14ac:dyDescent="0.2">
      <c r="A197" s="201"/>
      <c r="B197" s="127">
        <v>4</v>
      </c>
      <c r="C197" s="195">
        <v>10</v>
      </c>
      <c r="D197" s="197" t="s">
        <v>398</v>
      </c>
      <c r="E197" s="197">
        <v>244</v>
      </c>
      <c r="F197" s="197">
        <v>221</v>
      </c>
      <c r="G197" s="198"/>
      <c r="H197" s="198"/>
      <c r="I197" s="198">
        <v>699.95880999999997</v>
      </c>
      <c r="J197" s="198">
        <v>468.78296999999998</v>
      </c>
      <c r="K197" s="199"/>
      <c r="L197" s="199"/>
      <c r="M197" s="199"/>
      <c r="N197" s="199"/>
      <c r="O197" s="199"/>
      <c r="P197" s="199"/>
      <c r="Q197" s="199"/>
      <c r="R197" s="199"/>
      <c r="S197" s="199"/>
    </row>
    <row r="198" spans="1:19" ht="17.25" customHeight="1" x14ac:dyDescent="0.2">
      <c r="A198" s="201"/>
      <c r="B198" s="127">
        <v>4</v>
      </c>
      <c r="C198" s="195">
        <v>10</v>
      </c>
      <c r="D198" s="197" t="s">
        <v>398</v>
      </c>
      <c r="E198" s="197">
        <v>244</v>
      </c>
      <c r="F198" s="197">
        <v>224</v>
      </c>
      <c r="G198" s="198"/>
      <c r="H198" s="198"/>
      <c r="I198" s="198">
        <v>3.84</v>
      </c>
      <c r="J198" s="198">
        <v>3.84</v>
      </c>
      <c r="K198" s="199"/>
      <c r="L198" s="199"/>
      <c r="M198" s="199"/>
      <c r="N198" s="199"/>
      <c r="O198" s="199"/>
      <c r="P198" s="199"/>
      <c r="Q198" s="199"/>
      <c r="R198" s="199"/>
      <c r="S198" s="199"/>
    </row>
    <row r="199" spans="1:19" ht="15.75" customHeight="1" x14ac:dyDescent="0.2">
      <c r="A199" s="201"/>
      <c r="B199" s="127">
        <v>4</v>
      </c>
      <c r="C199" s="195">
        <v>10</v>
      </c>
      <c r="D199" s="197" t="s">
        <v>398</v>
      </c>
      <c r="E199" s="197">
        <v>244</v>
      </c>
      <c r="F199" s="197">
        <v>226</v>
      </c>
      <c r="G199" s="198"/>
      <c r="H199" s="198"/>
      <c r="I199" s="198">
        <v>437.62</v>
      </c>
      <c r="J199" s="198">
        <v>379.64600000000002</v>
      </c>
      <c r="K199" s="199"/>
      <c r="L199" s="199"/>
      <c r="M199" s="199"/>
      <c r="N199" s="199"/>
      <c r="O199" s="199"/>
      <c r="P199" s="199"/>
      <c r="Q199" s="199"/>
      <c r="R199" s="199"/>
      <c r="S199" s="199"/>
    </row>
    <row r="200" spans="1:19" s="188" customFormat="1" ht="32.25" customHeight="1" x14ac:dyDescent="0.25">
      <c r="A200" s="189" t="s">
        <v>462</v>
      </c>
      <c r="B200" s="190">
        <v>4</v>
      </c>
      <c r="C200" s="191">
        <v>12</v>
      </c>
      <c r="D200" s="193"/>
      <c r="E200" s="193"/>
      <c r="F200" s="193"/>
      <c r="G200" s="194">
        <f t="shared" ref="G200:J204" si="92">G201</f>
        <v>383</v>
      </c>
      <c r="H200" s="194">
        <f>H201</f>
        <v>383</v>
      </c>
      <c r="I200" s="194">
        <f t="shared" si="92"/>
        <v>383</v>
      </c>
      <c r="J200" s="194">
        <f t="shared" si="92"/>
        <v>383</v>
      </c>
      <c r="K200" s="187">
        <f t="shared" si="46"/>
        <v>0</v>
      </c>
      <c r="L200" s="187">
        <f t="shared" si="54"/>
        <v>100</v>
      </c>
      <c r="M200" s="187">
        <f t="shared" si="47"/>
        <v>0</v>
      </c>
      <c r="N200" s="187">
        <f t="shared" si="55"/>
        <v>100</v>
      </c>
      <c r="O200" s="187">
        <f t="shared" si="48"/>
        <v>100</v>
      </c>
      <c r="P200" s="187">
        <f t="shared" si="49"/>
        <v>100</v>
      </c>
      <c r="Q200" s="187">
        <f t="shared" si="50"/>
        <v>0</v>
      </c>
      <c r="R200" s="187">
        <f t="shared" si="51"/>
        <v>100</v>
      </c>
      <c r="S200" s="187">
        <f t="shared" ref="S200:S205" si="93">J200/$J$355*100</f>
        <v>0.28366039132539783</v>
      </c>
    </row>
    <row r="201" spans="1:19" ht="22.5" customHeight="1" x14ac:dyDescent="0.2">
      <c r="A201" s="126" t="s">
        <v>370</v>
      </c>
      <c r="B201" s="127">
        <v>4</v>
      </c>
      <c r="C201" s="195">
        <v>12</v>
      </c>
      <c r="D201" s="196" t="s">
        <v>371</v>
      </c>
      <c r="E201" s="197"/>
      <c r="F201" s="197"/>
      <c r="G201" s="198">
        <f t="shared" si="92"/>
        <v>383</v>
      </c>
      <c r="H201" s="198">
        <f>H202</f>
        <v>383</v>
      </c>
      <c r="I201" s="198">
        <f t="shared" si="92"/>
        <v>383</v>
      </c>
      <c r="J201" s="198">
        <f t="shared" si="92"/>
        <v>383</v>
      </c>
      <c r="K201" s="199">
        <f t="shared" si="46"/>
        <v>0</v>
      </c>
      <c r="L201" s="199">
        <f t="shared" si="54"/>
        <v>100</v>
      </c>
      <c r="M201" s="199">
        <f t="shared" si="47"/>
        <v>0</v>
      </c>
      <c r="N201" s="199">
        <f t="shared" si="55"/>
        <v>100</v>
      </c>
      <c r="O201" s="199">
        <f t="shared" si="48"/>
        <v>100</v>
      </c>
      <c r="P201" s="199">
        <f t="shared" si="49"/>
        <v>100</v>
      </c>
      <c r="Q201" s="199">
        <f t="shared" si="50"/>
        <v>0</v>
      </c>
      <c r="R201" s="199">
        <f t="shared" si="51"/>
        <v>100</v>
      </c>
      <c r="S201" s="199">
        <f t="shared" si="93"/>
        <v>0.28366039132539783</v>
      </c>
    </row>
    <row r="202" spans="1:19" s="204" customFormat="1" ht="19.5" customHeight="1" x14ac:dyDescent="0.3">
      <c r="A202" s="126" t="s">
        <v>444</v>
      </c>
      <c r="B202" s="127">
        <v>4</v>
      </c>
      <c r="C202" s="195">
        <v>12</v>
      </c>
      <c r="D202" s="196" t="s">
        <v>445</v>
      </c>
      <c r="E202" s="197"/>
      <c r="F202" s="197"/>
      <c r="G202" s="198">
        <f t="shared" si="92"/>
        <v>383</v>
      </c>
      <c r="H202" s="198">
        <f>H203</f>
        <v>383</v>
      </c>
      <c r="I202" s="198">
        <f t="shared" si="92"/>
        <v>383</v>
      </c>
      <c r="J202" s="198">
        <f t="shared" si="92"/>
        <v>383</v>
      </c>
      <c r="K202" s="199">
        <f t="shared" si="46"/>
        <v>0</v>
      </c>
      <c r="L202" s="199">
        <f t="shared" si="54"/>
        <v>100</v>
      </c>
      <c r="M202" s="199">
        <f t="shared" si="47"/>
        <v>0</v>
      </c>
      <c r="N202" s="199">
        <f t="shared" si="55"/>
        <v>100</v>
      </c>
      <c r="O202" s="199">
        <f t="shared" si="48"/>
        <v>100</v>
      </c>
      <c r="P202" s="199">
        <f t="shared" si="49"/>
        <v>100</v>
      </c>
      <c r="Q202" s="199">
        <f t="shared" si="50"/>
        <v>0</v>
      </c>
      <c r="R202" s="199">
        <f t="shared" si="51"/>
        <v>100</v>
      </c>
      <c r="S202" s="199">
        <f t="shared" si="93"/>
        <v>0.28366039132539783</v>
      </c>
    </row>
    <row r="203" spans="1:19" s="204" customFormat="1" ht="18" customHeight="1" x14ac:dyDescent="0.3">
      <c r="A203" s="126" t="s">
        <v>463</v>
      </c>
      <c r="B203" s="127">
        <v>4</v>
      </c>
      <c r="C203" s="195">
        <v>12</v>
      </c>
      <c r="D203" s="197" t="s">
        <v>464</v>
      </c>
      <c r="E203" s="197"/>
      <c r="F203" s="197"/>
      <c r="G203" s="198">
        <f t="shared" si="92"/>
        <v>383</v>
      </c>
      <c r="H203" s="198">
        <f>H204</f>
        <v>383</v>
      </c>
      <c r="I203" s="198">
        <f t="shared" si="92"/>
        <v>383</v>
      </c>
      <c r="J203" s="198">
        <f t="shared" si="92"/>
        <v>383</v>
      </c>
      <c r="K203" s="199">
        <f t="shared" ref="K203:K291" si="94">I203-H203</f>
        <v>0</v>
      </c>
      <c r="L203" s="199">
        <f t="shared" ref="L203:L291" si="95">I203/H203*100</f>
        <v>100</v>
      </c>
      <c r="M203" s="199">
        <f t="shared" ref="M203:M291" si="96">J203-I203</f>
        <v>0</v>
      </c>
      <c r="N203" s="199">
        <f t="shared" ref="N203:N291" si="97">J203/I203*100</f>
        <v>100</v>
      </c>
      <c r="O203" s="199">
        <f t="shared" ref="O203:O291" si="98">J203/G203*100</f>
        <v>100</v>
      </c>
      <c r="P203" s="199">
        <f t="shared" ref="P203:P291" si="99">J203/H203*100</f>
        <v>100</v>
      </c>
      <c r="Q203" s="199">
        <f t="shared" ref="Q203:Q291" si="100">H203-G203</f>
        <v>0</v>
      </c>
      <c r="R203" s="199">
        <f t="shared" ref="R203:R291" si="101">H203/G203*100</f>
        <v>100</v>
      </c>
      <c r="S203" s="199">
        <f t="shared" si="93"/>
        <v>0.28366039132539783</v>
      </c>
    </row>
    <row r="204" spans="1:19" s="204" customFormat="1" ht="29.25" customHeight="1" x14ac:dyDescent="0.3">
      <c r="A204" s="201" t="s">
        <v>399</v>
      </c>
      <c r="B204" s="127">
        <v>4</v>
      </c>
      <c r="C204" s="195">
        <v>12</v>
      </c>
      <c r="D204" s="197" t="s">
        <v>464</v>
      </c>
      <c r="E204" s="197">
        <v>200</v>
      </c>
      <c r="F204" s="197"/>
      <c r="G204" s="198">
        <f t="shared" si="92"/>
        <v>383</v>
      </c>
      <c r="H204" s="198">
        <f>H205</f>
        <v>383</v>
      </c>
      <c r="I204" s="198">
        <f t="shared" si="92"/>
        <v>383</v>
      </c>
      <c r="J204" s="198">
        <f t="shared" si="92"/>
        <v>383</v>
      </c>
      <c r="K204" s="199">
        <f t="shared" si="94"/>
        <v>0</v>
      </c>
      <c r="L204" s="199">
        <f t="shared" si="95"/>
        <v>100</v>
      </c>
      <c r="M204" s="199">
        <f t="shared" si="96"/>
        <v>0</v>
      </c>
      <c r="N204" s="199">
        <f t="shared" si="97"/>
        <v>100</v>
      </c>
      <c r="O204" s="199">
        <f t="shared" si="98"/>
        <v>100</v>
      </c>
      <c r="P204" s="199">
        <f t="shared" si="99"/>
        <v>100</v>
      </c>
      <c r="Q204" s="199">
        <f t="shared" si="100"/>
        <v>0</v>
      </c>
      <c r="R204" s="199">
        <f t="shared" si="101"/>
        <v>100</v>
      </c>
      <c r="S204" s="199">
        <f t="shared" si="93"/>
        <v>0.28366039132539783</v>
      </c>
    </row>
    <row r="205" spans="1:19" ht="40.5" customHeight="1" x14ac:dyDescent="0.2">
      <c r="A205" s="201" t="s">
        <v>395</v>
      </c>
      <c r="B205" s="127">
        <v>4</v>
      </c>
      <c r="C205" s="195">
        <v>12</v>
      </c>
      <c r="D205" s="197" t="s">
        <v>464</v>
      </c>
      <c r="E205" s="197">
        <v>240</v>
      </c>
      <c r="F205" s="197"/>
      <c r="G205" s="198">
        <v>383</v>
      </c>
      <c r="H205" s="198">
        <f>'[4]приложение №3 (5) 2022г.'!G150</f>
        <v>383</v>
      </c>
      <c r="I205" s="198">
        <f>I206</f>
        <v>383</v>
      </c>
      <c r="J205" s="198">
        <f>J206</f>
        <v>383</v>
      </c>
      <c r="K205" s="199">
        <f t="shared" si="94"/>
        <v>0</v>
      </c>
      <c r="L205" s="199">
        <f t="shared" si="95"/>
        <v>100</v>
      </c>
      <c r="M205" s="199">
        <f t="shared" si="96"/>
        <v>0</v>
      </c>
      <c r="N205" s="199">
        <f t="shared" si="97"/>
        <v>100</v>
      </c>
      <c r="O205" s="199">
        <f t="shared" si="98"/>
        <v>100</v>
      </c>
      <c r="P205" s="199">
        <f t="shared" si="99"/>
        <v>100</v>
      </c>
      <c r="Q205" s="199">
        <f t="shared" si="100"/>
        <v>0</v>
      </c>
      <c r="R205" s="199">
        <f t="shared" si="101"/>
        <v>100</v>
      </c>
      <c r="S205" s="199">
        <f t="shared" si="93"/>
        <v>0.28366039132539783</v>
      </c>
    </row>
    <row r="206" spans="1:19" ht="17.25" customHeight="1" x14ac:dyDescent="0.2">
      <c r="A206" s="201"/>
      <c r="B206" s="127">
        <v>4</v>
      </c>
      <c r="C206" s="195">
        <v>12</v>
      </c>
      <c r="D206" s="197" t="s">
        <v>464</v>
      </c>
      <c r="E206" s="197">
        <v>244</v>
      </c>
      <c r="F206" s="197">
        <v>226</v>
      </c>
      <c r="G206" s="198"/>
      <c r="H206" s="198"/>
      <c r="I206" s="198">
        <v>383</v>
      </c>
      <c r="J206" s="198">
        <v>383</v>
      </c>
      <c r="K206" s="199"/>
      <c r="L206" s="199"/>
      <c r="M206" s="199"/>
      <c r="N206" s="199"/>
      <c r="O206" s="199"/>
      <c r="P206" s="199"/>
      <c r="Q206" s="199"/>
      <c r="R206" s="199"/>
      <c r="S206" s="199"/>
    </row>
    <row r="207" spans="1:19" s="188" customFormat="1" ht="20.25" customHeight="1" x14ac:dyDescent="0.25">
      <c r="A207" s="181" t="s">
        <v>465</v>
      </c>
      <c r="B207" s="214">
        <v>5</v>
      </c>
      <c r="C207" s="211"/>
      <c r="D207" s="185"/>
      <c r="E207" s="185"/>
      <c r="F207" s="185"/>
      <c r="G207" s="186">
        <f t="shared" ref="G207:J207" si="102">G208+G224+G257</f>
        <v>18304.199999999997</v>
      </c>
      <c r="H207" s="186">
        <f>H208+H224+H257</f>
        <v>48511.415000000001</v>
      </c>
      <c r="I207" s="186">
        <f t="shared" si="102"/>
        <v>48511.419699999999</v>
      </c>
      <c r="J207" s="186">
        <f t="shared" si="102"/>
        <v>47829.806170000003</v>
      </c>
      <c r="K207" s="187">
        <f t="shared" si="94"/>
        <v>4.6999999976833351E-3</v>
      </c>
      <c r="L207" s="187">
        <f t="shared" si="95"/>
        <v>100.00000968844137</v>
      </c>
      <c r="M207" s="187">
        <f t="shared" si="96"/>
        <v>-681.61352999999508</v>
      </c>
      <c r="N207" s="187">
        <f t="shared" si="97"/>
        <v>98.59494211009455</v>
      </c>
      <c r="O207" s="187">
        <f t="shared" si="98"/>
        <v>261.30508937839409</v>
      </c>
      <c r="P207" s="187">
        <f t="shared" si="99"/>
        <v>98.594951662407709</v>
      </c>
      <c r="Q207" s="187">
        <f t="shared" si="100"/>
        <v>30207.215000000004</v>
      </c>
      <c r="R207" s="187">
        <f t="shared" si="101"/>
        <v>265.02887315479512</v>
      </c>
      <c r="S207" s="187">
        <f t="shared" ref="S207:S213" si="103">J207/$J$355*100</f>
        <v>35.424077115405034</v>
      </c>
    </row>
    <row r="208" spans="1:19" s="230" customFormat="1" ht="18" customHeight="1" x14ac:dyDescent="0.3">
      <c r="A208" s="237" t="s">
        <v>466</v>
      </c>
      <c r="B208" s="221">
        <v>5</v>
      </c>
      <c r="C208" s="222">
        <v>1</v>
      </c>
      <c r="D208" s="224"/>
      <c r="E208" s="224"/>
      <c r="F208" s="224"/>
      <c r="G208" s="225">
        <f t="shared" ref="G208:J209" si="104">G209</f>
        <v>144.4</v>
      </c>
      <c r="H208" s="225">
        <f t="shared" si="104"/>
        <v>1516.4389999999999</v>
      </c>
      <c r="I208" s="225">
        <f t="shared" si="104"/>
        <v>1516.4391499999999</v>
      </c>
      <c r="J208" s="225">
        <f t="shared" si="104"/>
        <v>1503.01232</v>
      </c>
      <c r="K208" s="187">
        <f t="shared" si="94"/>
        <v>1.5000000007603376E-4</v>
      </c>
      <c r="L208" s="187">
        <f t="shared" si="95"/>
        <v>100.00000989159471</v>
      </c>
      <c r="M208" s="187">
        <f t="shared" si="96"/>
        <v>-13.426829999999882</v>
      </c>
      <c r="N208" s="187">
        <f t="shared" si="97"/>
        <v>99.114581683017093</v>
      </c>
      <c r="O208" s="187">
        <f t="shared" si="98"/>
        <v>1040.8672576177285</v>
      </c>
      <c r="P208" s="187">
        <f t="shared" si="99"/>
        <v>99.114591487029827</v>
      </c>
      <c r="Q208" s="187">
        <f t="shared" si="100"/>
        <v>1372.0389999999998</v>
      </c>
      <c r="R208" s="187">
        <f t="shared" si="101"/>
        <v>1050.1655124653737</v>
      </c>
      <c r="S208" s="187">
        <f t="shared" si="103"/>
        <v>1.113172487880141</v>
      </c>
    </row>
    <row r="209" spans="1:19" s="204" customFormat="1" ht="20.25" customHeight="1" x14ac:dyDescent="0.3">
      <c r="A209" s="126" t="s">
        <v>370</v>
      </c>
      <c r="B209" s="127">
        <v>5</v>
      </c>
      <c r="C209" s="195">
        <v>1</v>
      </c>
      <c r="D209" s="197" t="s">
        <v>371</v>
      </c>
      <c r="E209" s="197"/>
      <c r="F209" s="197"/>
      <c r="G209" s="198">
        <f t="shared" si="104"/>
        <v>144.4</v>
      </c>
      <c r="H209" s="198">
        <f t="shared" si="104"/>
        <v>1516.4389999999999</v>
      </c>
      <c r="I209" s="198">
        <f t="shared" si="104"/>
        <v>1516.4391499999999</v>
      </c>
      <c r="J209" s="198">
        <f t="shared" si="104"/>
        <v>1503.01232</v>
      </c>
      <c r="K209" s="199">
        <f t="shared" si="94"/>
        <v>1.5000000007603376E-4</v>
      </c>
      <c r="L209" s="199">
        <f t="shared" si="95"/>
        <v>100.00000989159471</v>
      </c>
      <c r="M209" s="199">
        <f t="shared" si="96"/>
        <v>-13.426829999999882</v>
      </c>
      <c r="N209" s="199">
        <f t="shared" si="97"/>
        <v>99.114581683017093</v>
      </c>
      <c r="O209" s="199">
        <f t="shared" si="98"/>
        <v>1040.8672576177285</v>
      </c>
      <c r="P209" s="199">
        <f t="shared" si="99"/>
        <v>99.114591487029827</v>
      </c>
      <c r="Q209" s="199">
        <f t="shared" si="100"/>
        <v>1372.0389999999998</v>
      </c>
      <c r="R209" s="199">
        <f t="shared" si="101"/>
        <v>1050.1655124653737</v>
      </c>
      <c r="S209" s="199">
        <f t="shared" si="103"/>
        <v>1.113172487880141</v>
      </c>
    </row>
    <row r="210" spans="1:19" s="204" customFormat="1" ht="29.25" customHeight="1" x14ac:dyDescent="0.3">
      <c r="A210" s="126" t="s">
        <v>467</v>
      </c>
      <c r="B210" s="127">
        <v>5</v>
      </c>
      <c r="C210" s="195">
        <v>1</v>
      </c>
      <c r="D210" s="197" t="s">
        <v>468</v>
      </c>
      <c r="E210" s="197"/>
      <c r="F210" s="197"/>
      <c r="G210" s="198">
        <f t="shared" ref="G210:J210" si="105">G211+G215+G219</f>
        <v>144.4</v>
      </c>
      <c r="H210" s="198">
        <f>H211+H215+H219</f>
        <v>1516.4389999999999</v>
      </c>
      <c r="I210" s="198">
        <f t="shared" si="105"/>
        <v>1516.4391499999999</v>
      </c>
      <c r="J210" s="198">
        <f t="shared" si="105"/>
        <v>1503.01232</v>
      </c>
      <c r="K210" s="199">
        <f t="shared" si="94"/>
        <v>1.5000000007603376E-4</v>
      </c>
      <c r="L210" s="199">
        <f t="shared" si="95"/>
        <v>100.00000989159471</v>
      </c>
      <c r="M210" s="199">
        <f t="shared" si="96"/>
        <v>-13.426829999999882</v>
      </c>
      <c r="N210" s="199">
        <f t="shared" si="97"/>
        <v>99.114581683017093</v>
      </c>
      <c r="O210" s="199">
        <f t="shared" si="98"/>
        <v>1040.8672576177285</v>
      </c>
      <c r="P210" s="199">
        <f t="shared" si="99"/>
        <v>99.114591487029827</v>
      </c>
      <c r="Q210" s="199">
        <f t="shared" si="100"/>
        <v>1372.0389999999998</v>
      </c>
      <c r="R210" s="199">
        <f t="shared" si="101"/>
        <v>1050.1655124653737</v>
      </c>
      <c r="S210" s="199">
        <f t="shared" si="103"/>
        <v>1.113172487880141</v>
      </c>
    </row>
    <row r="211" spans="1:19" s="204" customFormat="1" ht="27.75" customHeight="1" x14ac:dyDescent="0.3">
      <c r="A211" s="126" t="s">
        <v>469</v>
      </c>
      <c r="B211" s="127">
        <v>5</v>
      </c>
      <c r="C211" s="195">
        <v>1</v>
      </c>
      <c r="D211" s="197" t="s">
        <v>470</v>
      </c>
      <c r="E211" s="197"/>
      <c r="F211" s="197"/>
      <c r="G211" s="198">
        <f t="shared" ref="G211:J212" si="106">G212</f>
        <v>0</v>
      </c>
      <c r="H211" s="198">
        <f t="shared" si="106"/>
        <v>375</v>
      </c>
      <c r="I211" s="198">
        <f t="shared" si="106"/>
        <v>375</v>
      </c>
      <c r="J211" s="198">
        <f t="shared" si="106"/>
        <v>375</v>
      </c>
      <c r="K211" s="199">
        <f t="shared" si="94"/>
        <v>0</v>
      </c>
      <c r="L211" s="199">
        <f t="shared" si="95"/>
        <v>100</v>
      </c>
      <c r="M211" s="199">
        <f t="shared" si="96"/>
        <v>0</v>
      </c>
      <c r="N211" s="199">
        <f t="shared" si="97"/>
        <v>100</v>
      </c>
      <c r="O211" s="199"/>
      <c r="P211" s="199">
        <f t="shared" si="99"/>
        <v>100</v>
      </c>
      <c r="Q211" s="199">
        <f t="shared" si="100"/>
        <v>375</v>
      </c>
      <c r="R211" s="199"/>
      <c r="S211" s="199">
        <f t="shared" si="103"/>
        <v>0.27773537009666888</v>
      </c>
    </row>
    <row r="212" spans="1:19" s="204" customFormat="1" ht="25.5" customHeight="1" x14ac:dyDescent="0.3">
      <c r="A212" s="201" t="s">
        <v>399</v>
      </c>
      <c r="B212" s="127">
        <v>5</v>
      </c>
      <c r="C212" s="195">
        <v>1</v>
      </c>
      <c r="D212" s="197" t="s">
        <v>470</v>
      </c>
      <c r="E212" s="197">
        <v>200</v>
      </c>
      <c r="F212" s="197"/>
      <c r="G212" s="198">
        <f t="shared" si="106"/>
        <v>0</v>
      </c>
      <c r="H212" s="198">
        <f t="shared" si="106"/>
        <v>375</v>
      </c>
      <c r="I212" s="198">
        <f t="shared" si="106"/>
        <v>375</v>
      </c>
      <c r="J212" s="198">
        <f t="shared" si="106"/>
        <v>375</v>
      </c>
      <c r="K212" s="199">
        <f t="shared" si="94"/>
        <v>0</v>
      </c>
      <c r="L212" s="199">
        <f t="shared" si="95"/>
        <v>100</v>
      </c>
      <c r="M212" s="199">
        <f t="shared" si="96"/>
        <v>0</v>
      </c>
      <c r="N212" s="199">
        <f t="shared" si="97"/>
        <v>100</v>
      </c>
      <c r="O212" s="199"/>
      <c r="P212" s="199">
        <f t="shared" si="99"/>
        <v>100</v>
      </c>
      <c r="Q212" s="199">
        <f t="shared" si="100"/>
        <v>375</v>
      </c>
      <c r="R212" s="199"/>
      <c r="S212" s="199">
        <f t="shared" si="103"/>
        <v>0.27773537009666888</v>
      </c>
    </row>
    <row r="213" spans="1:19" s="204" customFormat="1" ht="39" customHeight="1" x14ac:dyDescent="0.3">
      <c r="A213" s="201" t="s">
        <v>395</v>
      </c>
      <c r="B213" s="127">
        <v>5</v>
      </c>
      <c r="C213" s="195">
        <v>1</v>
      </c>
      <c r="D213" s="197" t="s">
        <v>470</v>
      </c>
      <c r="E213" s="197">
        <v>240</v>
      </c>
      <c r="F213" s="197"/>
      <c r="G213" s="198"/>
      <c r="H213" s="198">
        <f>'[4]приложение №3 (5) 2022г.'!G157</f>
        <v>375</v>
      </c>
      <c r="I213" s="198">
        <f>I214</f>
        <v>375</v>
      </c>
      <c r="J213" s="198">
        <f>J214</f>
        <v>375</v>
      </c>
      <c r="K213" s="199">
        <f t="shared" si="94"/>
        <v>0</v>
      </c>
      <c r="L213" s="199">
        <f t="shared" si="95"/>
        <v>100</v>
      </c>
      <c r="M213" s="199">
        <f t="shared" si="96"/>
        <v>0</v>
      </c>
      <c r="N213" s="199">
        <f t="shared" si="97"/>
        <v>100</v>
      </c>
      <c r="O213" s="199"/>
      <c r="P213" s="199">
        <f t="shared" si="99"/>
        <v>100</v>
      </c>
      <c r="Q213" s="199">
        <f t="shared" si="100"/>
        <v>375</v>
      </c>
      <c r="R213" s="199"/>
      <c r="S213" s="199">
        <f t="shared" si="103"/>
        <v>0.27773537009666888</v>
      </c>
    </row>
    <row r="214" spans="1:19" s="204" customFormat="1" ht="17.25" customHeight="1" x14ac:dyDescent="0.3">
      <c r="A214" s="201"/>
      <c r="B214" s="127">
        <v>5</v>
      </c>
      <c r="C214" s="195">
        <v>1</v>
      </c>
      <c r="D214" s="197" t="s">
        <v>470</v>
      </c>
      <c r="E214" s="197">
        <v>244</v>
      </c>
      <c r="F214" s="197">
        <v>226</v>
      </c>
      <c r="G214" s="198"/>
      <c r="H214" s="198"/>
      <c r="I214" s="198">
        <v>375</v>
      </c>
      <c r="J214" s="198">
        <v>375</v>
      </c>
      <c r="K214" s="199"/>
      <c r="L214" s="199"/>
      <c r="M214" s="199"/>
      <c r="N214" s="199"/>
      <c r="O214" s="199"/>
      <c r="P214" s="199"/>
      <c r="Q214" s="199"/>
      <c r="R214" s="199"/>
      <c r="S214" s="199"/>
    </row>
    <row r="215" spans="1:19" s="204" customFormat="1" ht="19.5" customHeight="1" x14ac:dyDescent="0.3">
      <c r="A215" s="126" t="s">
        <v>471</v>
      </c>
      <c r="B215" s="127">
        <v>5</v>
      </c>
      <c r="C215" s="195">
        <v>1</v>
      </c>
      <c r="D215" s="197" t="s">
        <v>472</v>
      </c>
      <c r="E215" s="197"/>
      <c r="F215" s="197"/>
      <c r="G215" s="198">
        <f t="shared" ref="G215:J216" si="107">G216</f>
        <v>0</v>
      </c>
      <c r="H215" s="198">
        <f t="shared" si="107"/>
        <v>1044.9829999999999</v>
      </c>
      <c r="I215" s="198">
        <f t="shared" si="107"/>
        <v>1044.98315</v>
      </c>
      <c r="J215" s="198">
        <f t="shared" si="107"/>
        <v>1044.98315</v>
      </c>
      <c r="K215" s="199">
        <f t="shared" si="94"/>
        <v>1.5000000007603376E-4</v>
      </c>
      <c r="L215" s="199">
        <f t="shared" si="95"/>
        <v>100.0000143543005</v>
      </c>
      <c r="M215" s="199">
        <f t="shared" si="96"/>
        <v>0</v>
      </c>
      <c r="N215" s="199">
        <f t="shared" si="97"/>
        <v>100</v>
      </c>
      <c r="O215" s="199"/>
      <c r="P215" s="199">
        <f t="shared" si="99"/>
        <v>100.0000143543005</v>
      </c>
      <c r="Q215" s="199">
        <f t="shared" si="100"/>
        <v>1044.9829999999999</v>
      </c>
      <c r="R215" s="199"/>
      <c r="S215" s="199">
        <f>J215/$J$355*100</f>
        <v>0.77394341842675418</v>
      </c>
    </row>
    <row r="216" spans="1:19" s="204" customFormat="1" ht="27" customHeight="1" x14ac:dyDescent="0.3">
      <c r="A216" s="201" t="s">
        <v>399</v>
      </c>
      <c r="B216" s="127">
        <v>5</v>
      </c>
      <c r="C216" s="195">
        <v>1</v>
      </c>
      <c r="D216" s="197" t="s">
        <v>472</v>
      </c>
      <c r="E216" s="197">
        <v>200</v>
      </c>
      <c r="F216" s="197"/>
      <c r="G216" s="198">
        <f t="shared" si="107"/>
        <v>0</v>
      </c>
      <c r="H216" s="198">
        <f t="shared" si="107"/>
        <v>1044.9829999999999</v>
      </c>
      <c r="I216" s="198">
        <f t="shared" si="107"/>
        <v>1044.98315</v>
      </c>
      <c r="J216" s="198">
        <f t="shared" si="107"/>
        <v>1044.98315</v>
      </c>
      <c r="K216" s="199">
        <f t="shared" si="94"/>
        <v>1.5000000007603376E-4</v>
      </c>
      <c r="L216" s="199">
        <f t="shared" si="95"/>
        <v>100.0000143543005</v>
      </c>
      <c r="M216" s="199">
        <f t="shared" si="96"/>
        <v>0</v>
      </c>
      <c r="N216" s="199">
        <f t="shared" si="97"/>
        <v>100</v>
      </c>
      <c r="O216" s="199"/>
      <c r="P216" s="199">
        <f t="shared" si="99"/>
        <v>100.0000143543005</v>
      </c>
      <c r="Q216" s="199">
        <f t="shared" si="100"/>
        <v>1044.9829999999999</v>
      </c>
      <c r="R216" s="199"/>
      <c r="S216" s="199">
        <f>J216/$J$355*100</f>
        <v>0.77394341842675418</v>
      </c>
    </row>
    <row r="217" spans="1:19" s="204" customFormat="1" ht="39.75" customHeight="1" x14ac:dyDescent="0.3">
      <c r="A217" s="201" t="s">
        <v>395</v>
      </c>
      <c r="B217" s="127">
        <v>5</v>
      </c>
      <c r="C217" s="195">
        <v>1</v>
      </c>
      <c r="D217" s="197" t="s">
        <v>472</v>
      </c>
      <c r="E217" s="197">
        <v>240</v>
      </c>
      <c r="F217" s="197"/>
      <c r="G217" s="198"/>
      <c r="H217" s="198">
        <f>'[4]приложение №3 (5) 2022г.'!G160</f>
        <v>1044.9829999999999</v>
      </c>
      <c r="I217" s="198">
        <f>I218</f>
        <v>1044.98315</v>
      </c>
      <c r="J217" s="198">
        <f>J218</f>
        <v>1044.98315</v>
      </c>
      <c r="K217" s="199">
        <f t="shared" si="94"/>
        <v>1.5000000007603376E-4</v>
      </c>
      <c r="L217" s="199">
        <f t="shared" si="95"/>
        <v>100.0000143543005</v>
      </c>
      <c r="M217" s="199">
        <f t="shared" si="96"/>
        <v>0</v>
      </c>
      <c r="N217" s="199">
        <f t="shared" si="97"/>
        <v>100</v>
      </c>
      <c r="O217" s="199"/>
      <c r="P217" s="199">
        <f t="shared" si="99"/>
        <v>100.0000143543005</v>
      </c>
      <c r="Q217" s="199">
        <f t="shared" si="100"/>
        <v>1044.9829999999999</v>
      </c>
      <c r="R217" s="199"/>
      <c r="S217" s="199">
        <f>J217/$J$355*100</f>
        <v>0.77394341842675418</v>
      </c>
    </row>
    <row r="218" spans="1:19" s="204" customFormat="1" ht="17.25" customHeight="1" x14ac:dyDescent="0.3">
      <c r="A218" s="201"/>
      <c r="B218" s="127">
        <v>5</v>
      </c>
      <c r="C218" s="195">
        <v>1</v>
      </c>
      <c r="D218" s="197" t="s">
        <v>472</v>
      </c>
      <c r="E218" s="197">
        <v>244</v>
      </c>
      <c r="F218" s="197">
        <v>226</v>
      </c>
      <c r="G218" s="198"/>
      <c r="H218" s="198"/>
      <c r="I218" s="198">
        <v>1044.98315</v>
      </c>
      <c r="J218" s="198">
        <v>1044.98315</v>
      </c>
      <c r="K218" s="199"/>
      <c r="L218" s="199"/>
      <c r="M218" s="199"/>
      <c r="N218" s="199"/>
      <c r="O218" s="199"/>
      <c r="P218" s="199"/>
      <c r="Q218" s="199"/>
      <c r="R218" s="199"/>
      <c r="S218" s="199"/>
    </row>
    <row r="219" spans="1:19" s="204" customFormat="1" ht="19.5" customHeight="1" x14ac:dyDescent="0.3">
      <c r="A219" s="126" t="s">
        <v>402</v>
      </c>
      <c r="B219" s="127">
        <v>5</v>
      </c>
      <c r="C219" s="195">
        <v>1</v>
      </c>
      <c r="D219" s="197" t="s">
        <v>473</v>
      </c>
      <c r="E219" s="197"/>
      <c r="F219" s="197"/>
      <c r="G219" s="198">
        <f t="shared" ref="G219:J220" si="108">G220</f>
        <v>144.4</v>
      </c>
      <c r="H219" s="198">
        <f t="shared" si="108"/>
        <v>96.456000000000003</v>
      </c>
      <c r="I219" s="198">
        <f t="shared" si="108"/>
        <v>96.456000000000003</v>
      </c>
      <c r="J219" s="198">
        <f t="shared" si="108"/>
        <v>83.029170000000008</v>
      </c>
      <c r="K219" s="199">
        <f t="shared" si="94"/>
        <v>0</v>
      </c>
      <c r="L219" s="199">
        <f t="shared" si="95"/>
        <v>100</v>
      </c>
      <c r="M219" s="199">
        <f t="shared" si="96"/>
        <v>-13.426829999999995</v>
      </c>
      <c r="N219" s="199">
        <f t="shared" si="97"/>
        <v>86.079839512316497</v>
      </c>
      <c r="O219" s="199">
        <f t="shared" si="98"/>
        <v>57.499425207756239</v>
      </c>
      <c r="P219" s="199">
        <f t="shared" si="99"/>
        <v>86.079839512316497</v>
      </c>
      <c r="Q219" s="199">
        <f t="shared" si="100"/>
        <v>-47.944000000000003</v>
      </c>
      <c r="R219" s="199">
        <f t="shared" si="101"/>
        <v>66.797783933518005</v>
      </c>
      <c r="S219" s="199">
        <f>J219/$J$355*100</f>
        <v>6.1493699356717967E-2</v>
      </c>
    </row>
    <row r="220" spans="1:19" s="204" customFormat="1" ht="28.5" customHeight="1" x14ac:dyDescent="0.3">
      <c r="A220" s="201" t="s">
        <v>399</v>
      </c>
      <c r="B220" s="127">
        <v>5</v>
      </c>
      <c r="C220" s="195">
        <v>1</v>
      </c>
      <c r="D220" s="197" t="s">
        <v>473</v>
      </c>
      <c r="E220" s="197">
        <v>200</v>
      </c>
      <c r="F220" s="197"/>
      <c r="G220" s="198">
        <f t="shared" si="108"/>
        <v>144.4</v>
      </c>
      <c r="H220" s="198">
        <f t="shared" si="108"/>
        <v>96.456000000000003</v>
      </c>
      <c r="I220" s="198">
        <f t="shared" si="108"/>
        <v>96.456000000000003</v>
      </c>
      <c r="J220" s="198">
        <f t="shared" si="108"/>
        <v>83.029170000000008</v>
      </c>
      <c r="K220" s="199">
        <f t="shared" si="94"/>
        <v>0</v>
      </c>
      <c r="L220" s="199">
        <f t="shared" si="95"/>
        <v>100</v>
      </c>
      <c r="M220" s="199">
        <f t="shared" si="96"/>
        <v>-13.426829999999995</v>
      </c>
      <c r="N220" s="199">
        <f t="shared" si="97"/>
        <v>86.079839512316497</v>
      </c>
      <c r="O220" s="199">
        <f t="shared" si="98"/>
        <v>57.499425207756239</v>
      </c>
      <c r="P220" s="199">
        <f t="shared" si="99"/>
        <v>86.079839512316497</v>
      </c>
      <c r="Q220" s="199">
        <f t="shared" si="100"/>
        <v>-47.944000000000003</v>
      </c>
      <c r="R220" s="199">
        <f t="shared" si="101"/>
        <v>66.797783933518005</v>
      </c>
      <c r="S220" s="199">
        <f>J220/$J$355*100</f>
        <v>6.1493699356717967E-2</v>
      </c>
    </row>
    <row r="221" spans="1:19" s="204" customFormat="1" ht="36" customHeight="1" x14ac:dyDescent="0.3">
      <c r="A221" s="201" t="s">
        <v>395</v>
      </c>
      <c r="B221" s="127">
        <v>5</v>
      </c>
      <c r="C221" s="195">
        <v>1</v>
      </c>
      <c r="D221" s="197" t="s">
        <v>473</v>
      </c>
      <c r="E221" s="197">
        <v>240</v>
      </c>
      <c r="F221" s="197"/>
      <c r="G221" s="198">
        <v>144.4</v>
      </c>
      <c r="H221" s="198">
        <f>'[4]приложение №3 (5) 2022г.'!G163</f>
        <v>96.456000000000003</v>
      </c>
      <c r="I221" s="198">
        <f>I222+I223</f>
        <v>96.456000000000003</v>
      </c>
      <c r="J221" s="198">
        <f>J222+J223</f>
        <v>83.029170000000008</v>
      </c>
      <c r="K221" s="199">
        <f t="shared" si="94"/>
        <v>0</v>
      </c>
      <c r="L221" s="199">
        <f t="shared" si="95"/>
        <v>100</v>
      </c>
      <c r="M221" s="199">
        <f t="shared" si="96"/>
        <v>-13.426829999999995</v>
      </c>
      <c r="N221" s="199">
        <f t="shared" si="97"/>
        <v>86.079839512316497</v>
      </c>
      <c r="O221" s="199">
        <f t="shared" si="98"/>
        <v>57.499425207756239</v>
      </c>
      <c r="P221" s="199">
        <f t="shared" si="99"/>
        <v>86.079839512316497</v>
      </c>
      <c r="Q221" s="199">
        <f t="shared" si="100"/>
        <v>-47.944000000000003</v>
      </c>
      <c r="R221" s="199">
        <f t="shared" si="101"/>
        <v>66.797783933518005</v>
      </c>
      <c r="S221" s="199">
        <f>J221/$J$355*100</f>
        <v>6.1493699356717967E-2</v>
      </c>
    </row>
    <row r="222" spans="1:19" s="204" customFormat="1" ht="15.75" customHeight="1" x14ac:dyDescent="0.3">
      <c r="A222" s="201"/>
      <c r="B222" s="127">
        <v>5</v>
      </c>
      <c r="C222" s="195">
        <v>1</v>
      </c>
      <c r="D222" s="197" t="s">
        <v>473</v>
      </c>
      <c r="E222" s="197">
        <v>244</v>
      </c>
      <c r="F222" s="197">
        <v>225</v>
      </c>
      <c r="G222" s="198"/>
      <c r="H222" s="198"/>
      <c r="I222" s="198">
        <v>84.4</v>
      </c>
      <c r="J222" s="198">
        <v>71.248170000000002</v>
      </c>
      <c r="K222" s="199"/>
      <c r="L222" s="199"/>
      <c r="M222" s="199"/>
      <c r="N222" s="199"/>
      <c r="O222" s="199"/>
      <c r="P222" s="199"/>
      <c r="Q222" s="199"/>
      <c r="R222" s="199"/>
      <c r="S222" s="199"/>
    </row>
    <row r="223" spans="1:19" s="204" customFormat="1" ht="16.5" customHeight="1" x14ac:dyDescent="0.3">
      <c r="A223" s="201"/>
      <c r="B223" s="127">
        <v>5</v>
      </c>
      <c r="C223" s="195">
        <v>1</v>
      </c>
      <c r="D223" s="197" t="s">
        <v>473</v>
      </c>
      <c r="E223" s="197">
        <v>244</v>
      </c>
      <c r="F223" s="197">
        <v>310</v>
      </c>
      <c r="G223" s="198"/>
      <c r="H223" s="198"/>
      <c r="I223" s="198">
        <v>12.055999999999999</v>
      </c>
      <c r="J223" s="198">
        <v>11.781000000000001</v>
      </c>
      <c r="K223" s="199"/>
      <c r="L223" s="199"/>
      <c r="M223" s="199"/>
      <c r="N223" s="199"/>
      <c r="O223" s="199"/>
      <c r="P223" s="199"/>
      <c r="Q223" s="199"/>
      <c r="R223" s="199"/>
      <c r="S223" s="199"/>
    </row>
    <row r="224" spans="1:19" s="188" customFormat="1" ht="22.5" customHeight="1" x14ac:dyDescent="0.25">
      <c r="A224" s="189" t="s">
        <v>339</v>
      </c>
      <c r="B224" s="190">
        <v>5</v>
      </c>
      <c r="C224" s="191">
        <v>2</v>
      </c>
      <c r="D224" s="193"/>
      <c r="E224" s="193"/>
      <c r="F224" s="193"/>
      <c r="G224" s="194">
        <f t="shared" ref="G224:J224" si="109">G225+G253</f>
        <v>9334</v>
      </c>
      <c r="H224" s="194">
        <f>H225+H253</f>
        <v>26814.828000000001</v>
      </c>
      <c r="I224" s="194">
        <f t="shared" si="109"/>
        <v>26814.829819999999</v>
      </c>
      <c r="J224" s="194">
        <f t="shared" si="109"/>
        <v>26814.829819999999</v>
      </c>
      <c r="K224" s="187">
        <f t="shared" si="94"/>
        <v>1.8199999976786785E-3</v>
      </c>
      <c r="L224" s="187">
        <f t="shared" si="95"/>
        <v>100.00000678728946</v>
      </c>
      <c r="M224" s="187">
        <f t="shared" si="96"/>
        <v>0</v>
      </c>
      <c r="N224" s="187">
        <f t="shared" si="97"/>
        <v>100</v>
      </c>
      <c r="O224" s="187">
        <f t="shared" si="98"/>
        <v>287.28122798371544</v>
      </c>
      <c r="P224" s="187">
        <f t="shared" si="99"/>
        <v>100.00000678728946</v>
      </c>
      <c r="Q224" s="187">
        <f t="shared" si="100"/>
        <v>17480.828000000001</v>
      </c>
      <c r="R224" s="187">
        <f t="shared" si="101"/>
        <v>287.28120848510821</v>
      </c>
      <c r="S224" s="187">
        <f t="shared" ref="S224:S229" si="110">J224/$J$355*100</f>
        <v>19.859804491031714</v>
      </c>
    </row>
    <row r="225" spans="1:19" s="204" customFormat="1" ht="19.5" customHeight="1" x14ac:dyDescent="0.3">
      <c r="A225" s="126" t="s">
        <v>370</v>
      </c>
      <c r="B225" s="127">
        <v>5</v>
      </c>
      <c r="C225" s="195">
        <v>2</v>
      </c>
      <c r="D225" s="197" t="s">
        <v>371</v>
      </c>
      <c r="E225" s="197"/>
      <c r="F225" s="197"/>
      <c r="G225" s="198">
        <f t="shared" ref="G225:J225" si="111">G226</f>
        <v>334</v>
      </c>
      <c r="H225" s="198">
        <f>H226</f>
        <v>17814.828000000001</v>
      </c>
      <c r="I225" s="198">
        <f t="shared" si="111"/>
        <v>17814.829819999999</v>
      </c>
      <c r="J225" s="198">
        <f t="shared" si="111"/>
        <v>17814.829819999999</v>
      </c>
      <c r="K225" s="199">
        <f t="shared" si="94"/>
        <v>1.8199999976786785E-3</v>
      </c>
      <c r="L225" s="199">
        <f t="shared" si="95"/>
        <v>100.00001021620864</v>
      </c>
      <c r="M225" s="199">
        <f t="shared" si="96"/>
        <v>0</v>
      </c>
      <c r="N225" s="199">
        <f t="shared" si="97"/>
        <v>100</v>
      </c>
      <c r="O225" s="199">
        <f t="shared" si="98"/>
        <v>5333.7813832335332</v>
      </c>
      <c r="P225" s="199">
        <f t="shared" si="99"/>
        <v>100.00001021620864</v>
      </c>
      <c r="Q225" s="199">
        <f t="shared" si="100"/>
        <v>17480.828000000001</v>
      </c>
      <c r="R225" s="199">
        <f t="shared" si="101"/>
        <v>5333.7808383233532</v>
      </c>
      <c r="S225" s="199">
        <f t="shared" si="110"/>
        <v>13.194155608711661</v>
      </c>
    </row>
    <row r="226" spans="1:19" s="204" customFormat="1" ht="30" customHeight="1" x14ac:dyDescent="0.3">
      <c r="A226" s="126" t="s">
        <v>467</v>
      </c>
      <c r="B226" s="127">
        <v>5</v>
      </c>
      <c r="C226" s="195">
        <v>2</v>
      </c>
      <c r="D226" s="197" t="s">
        <v>468</v>
      </c>
      <c r="E226" s="197"/>
      <c r="F226" s="197"/>
      <c r="G226" s="198">
        <f t="shared" ref="G226:J226" si="112">G227+G231+G235+G239+G243+G249</f>
        <v>334</v>
      </c>
      <c r="H226" s="198">
        <f>H227+H231+H235+H239+H243+H249</f>
        <v>17814.828000000001</v>
      </c>
      <c r="I226" s="198">
        <f t="shared" si="112"/>
        <v>17814.829819999999</v>
      </c>
      <c r="J226" s="198">
        <f t="shared" si="112"/>
        <v>17814.829819999999</v>
      </c>
      <c r="K226" s="199">
        <f t="shared" si="94"/>
        <v>1.8199999976786785E-3</v>
      </c>
      <c r="L226" s="199">
        <f t="shared" si="95"/>
        <v>100.00001021620864</v>
      </c>
      <c r="M226" s="199">
        <f t="shared" si="96"/>
        <v>0</v>
      </c>
      <c r="N226" s="199">
        <f t="shared" si="97"/>
        <v>100</v>
      </c>
      <c r="O226" s="199">
        <f t="shared" si="98"/>
        <v>5333.7813832335332</v>
      </c>
      <c r="P226" s="199">
        <f t="shared" si="99"/>
        <v>100.00001021620864</v>
      </c>
      <c r="Q226" s="199">
        <f t="shared" si="100"/>
        <v>17480.828000000001</v>
      </c>
      <c r="R226" s="199">
        <f t="shared" si="101"/>
        <v>5333.7808383233532</v>
      </c>
      <c r="S226" s="199">
        <f t="shared" si="110"/>
        <v>13.194155608711661</v>
      </c>
    </row>
    <row r="227" spans="1:19" s="204" customFormat="1" ht="26.25" customHeight="1" x14ac:dyDescent="0.3">
      <c r="A227" s="201" t="s">
        <v>474</v>
      </c>
      <c r="B227" s="127">
        <v>5</v>
      </c>
      <c r="C227" s="195">
        <v>2</v>
      </c>
      <c r="D227" s="197" t="s">
        <v>475</v>
      </c>
      <c r="E227" s="197"/>
      <c r="F227" s="197"/>
      <c r="G227" s="198">
        <f t="shared" ref="G227" si="113">G229</f>
        <v>0</v>
      </c>
      <c r="H227" s="198">
        <f>H229</f>
        <v>12025.713</v>
      </c>
      <c r="I227" s="198">
        <f t="shared" ref="I227:J227" si="114">I229</f>
        <v>12025.713659999999</v>
      </c>
      <c r="J227" s="198">
        <f t="shared" si="114"/>
        <v>12025.713659999999</v>
      </c>
      <c r="K227" s="199">
        <f t="shared" si="94"/>
        <v>6.5999999969790224E-4</v>
      </c>
      <c r="L227" s="199">
        <f t="shared" si="95"/>
        <v>100.00000548824006</v>
      </c>
      <c r="M227" s="199">
        <f t="shared" si="96"/>
        <v>0</v>
      </c>
      <c r="N227" s="199">
        <f t="shared" si="97"/>
        <v>100</v>
      </c>
      <c r="O227" s="199"/>
      <c r="P227" s="199">
        <f t="shared" si="99"/>
        <v>100.00000548824006</v>
      </c>
      <c r="Q227" s="199">
        <f t="shared" si="100"/>
        <v>12025.713</v>
      </c>
      <c r="R227" s="199"/>
      <c r="S227" s="199">
        <f t="shared" si="110"/>
        <v>8.9065760907644425</v>
      </c>
    </row>
    <row r="228" spans="1:19" s="204" customFormat="1" ht="18" customHeight="1" x14ac:dyDescent="0.3">
      <c r="A228" s="201" t="s">
        <v>400</v>
      </c>
      <c r="B228" s="127">
        <v>5</v>
      </c>
      <c r="C228" s="195">
        <v>2</v>
      </c>
      <c r="D228" s="197" t="s">
        <v>475</v>
      </c>
      <c r="E228" s="197">
        <v>800</v>
      </c>
      <c r="F228" s="197"/>
      <c r="G228" s="198">
        <f t="shared" ref="G228:J228" si="115">G229</f>
        <v>0</v>
      </c>
      <c r="H228" s="198">
        <f>H229</f>
        <v>12025.713</v>
      </c>
      <c r="I228" s="198">
        <f t="shared" si="115"/>
        <v>12025.713659999999</v>
      </c>
      <c r="J228" s="198">
        <f t="shared" si="115"/>
        <v>12025.713659999999</v>
      </c>
      <c r="K228" s="199">
        <f t="shared" si="94"/>
        <v>6.5999999969790224E-4</v>
      </c>
      <c r="L228" s="199">
        <f t="shared" si="95"/>
        <v>100.00000548824006</v>
      </c>
      <c r="M228" s="199">
        <f t="shared" si="96"/>
        <v>0</v>
      </c>
      <c r="N228" s="199">
        <f t="shared" si="97"/>
        <v>100</v>
      </c>
      <c r="O228" s="199"/>
      <c r="P228" s="199">
        <f t="shared" si="99"/>
        <v>100.00000548824006</v>
      </c>
      <c r="Q228" s="199">
        <f t="shared" si="100"/>
        <v>12025.713</v>
      </c>
      <c r="R228" s="199"/>
      <c r="S228" s="199">
        <f t="shared" si="110"/>
        <v>8.9065760907644425</v>
      </c>
    </row>
    <row r="229" spans="1:19" s="204" customFormat="1" ht="50.25" customHeight="1" x14ac:dyDescent="0.3">
      <c r="A229" s="201" t="s">
        <v>476</v>
      </c>
      <c r="B229" s="127">
        <v>5</v>
      </c>
      <c r="C229" s="195">
        <v>2</v>
      </c>
      <c r="D229" s="197" t="s">
        <v>475</v>
      </c>
      <c r="E229" s="197">
        <v>810</v>
      </c>
      <c r="F229" s="197"/>
      <c r="G229" s="198"/>
      <c r="H229" s="198">
        <f>'[4]приложение №3 (5) 2022г.'!G169</f>
        <v>12025.713</v>
      </c>
      <c r="I229" s="198">
        <f>I230</f>
        <v>12025.713659999999</v>
      </c>
      <c r="J229" s="198">
        <f>J230</f>
        <v>12025.713659999999</v>
      </c>
      <c r="K229" s="199">
        <f t="shared" si="94"/>
        <v>6.5999999969790224E-4</v>
      </c>
      <c r="L229" s="199">
        <f t="shared" si="95"/>
        <v>100.00000548824006</v>
      </c>
      <c r="M229" s="199">
        <f t="shared" si="96"/>
        <v>0</v>
      </c>
      <c r="N229" s="199">
        <f t="shared" si="97"/>
        <v>100</v>
      </c>
      <c r="O229" s="199"/>
      <c r="P229" s="199">
        <f t="shared" si="99"/>
        <v>100.00000548824006</v>
      </c>
      <c r="Q229" s="199">
        <f t="shared" si="100"/>
        <v>12025.713</v>
      </c>
      <c r="R229" s="199"/>
      <c r="S229" s="199">
        <f t="shared" si="110"/>
        <v>8.9065760907644425</v>
      </c>
    </row>
    <row r="230" spans="1:19" s="204" customFormat="1" ht="17.25" customHeight="1" x14ac:dyDescent="0.3">
      <c r="A230" s="201"/>
      <c r="B230" s="127">
        <v>5</v>
      </c>
      <c r="C230" s="195">
        <v>2</v>
      </c>
      <c r="D230" s="197" t="s">
        <v>475</v>
      </c>
      <c r="E230" s="197">
        <v>811</v>
      </c>
      <c r="F230" s="197">
        <v>244</v>
      </c>
      <c r="G230" s="198"/>
      <c r="H230" s="198"/>
      <c r="I230" s="198">
        <v>12025.713659999999</v>
      </c>
      <c r="J230" s="198">
        <v>12025.713659999999</v>
      </c>
      <c r="K230" s="199"/>
      <c r="L230" s="199"/>
      <c r="M230" s="199"/>
      <c r="N230" s="199"/>
      <c r="O230" s="199"/>
      <c r="P230" s="199"/>
      <c r="Q230" s="199"/>
      <c r="R230" s="199"/>
      <c r="S230" s="199"/>
    </row>
    <row r="231" spans="1:19" s="204" customFormat="1" ht="41.25" customHeight="1" x14ac:dyDescent="0.3">
      <c r="A231" s="201" t="s">
        <v>477</v>
      </c>
      <c r="B231" s="127">
        <v>5</v>
      </c>
      <c r="C231" s="195">
        <v>2</v>
      </c>
      <c r="D231" s="197" t="s">
        <v>478</v>
      </c>
      <c r="E231" s="197"/>
      <c r="F231" s="197"/>
      <c r="G231" s="198">
        <f t="shared" ref="G231" si="116">G233</f>
        <v>334</v>
      </c>
      <c r="H231" s="198">
        <f>H233</f>
        <v>333.904</v>
      </c>
      <c r="I231" s="198">
        <f t="shared" ref="I231:J231" si="117">I233</f>
        <v>333.904</v>
      </c>
      <c r="J231" s="198">
        <f t="shared" si="117"/>
        <v>333.904</v>
      </c>
      <c r="K231" s="199">
        <f t="shared" si="94"/>
        <v>0</v>
      </c>
      <c r="L231" s="199">
        <f t="shared" si="95"/>
        <v>100</v>
      </c>
      <c r="M231" s="199">
        <f t="shared" si="96"/>
        <v>0</v>
      </c>
      <c r="N231" s="199">
        <f t="shared" si="97"/>
        <v>100</v>
      </c>
      <c r="O231" s="199">
        <f t="shared" si="98"/>
        <v>99.971257485029938</v>
      </c>
      <c r="P231" s="199">
        <f t="shared" si="99"/>
        <v>100</v>
      </c>
      <c r="Q231" s="199">
        <f t="shared" si="100"/>
        <v>-9.6000000000003638E-2</v>
      </c>
      <c r="R231" s="199">
        <f t="shared" si="101"/>
        <v>99.971257485029938</v>
      </c>
      <c r="S231" s="199">
        <f>J231/$J$355*100</f>
        <v>0.24729853604468832</v>
      </c>
    </row>
    <row r="232" spans="1:19" s="204" customFormat="1" ht="30.75" customHeight="1" x14ac:dyDescent="0.3">
      <c r="A232" s="201" t="s">
        <v>404</v>
      </c>
      <c r="B232" s="127">
        <v>5</v>
      </c>
      <c r="C232" s="195">
        <v>2</v>
      </c>
      <c r="D232" s="218" t="s">
        <v>478</v>
      </c>
      <c r="E232" s="197">
        <v>200</v>
      </c>
      <c r="F232" s="197"/>
      <c r="G232" s="198">
        <f t="shared" ref="G232:J232" si="118">G233</f>
        <v>334</v>
      </c>
      <c r="H232" s="198">
        <f>H233</f>
        <v>333.904</v>
      </c>
      <c r="I232" s="198">
        <f t="shared" si="118"/>
        <v>333.904</v>
      </c>
      <c r="J232" s="198">
        <f t="shared" si="118"/>
        <v>333.904</v>
      </c>
      <c r="K232" s="199">
        <f t="shared" si="94"/>
        <v>0</v>
      </c>
      <c r="L232" s="199">
        <f t="shared" si="95"/>
        <v>100</v>
      </c>
      <c r="M232" s="199">
        <f t="shared" si="96"/>
        <v>0</v>
      </c>
      <c r="N232" s="199">
        <f t="shared" si="97"/>
        <v>100</v>
      </c>
      <c r="O232" s="199">
        <f t="shared" si="98"/>
        <v>99.971257485029938</v>
      </c>
      <c r="P232" s="199">
        <f t="shared" si="99"/>
        <v>100</v>
      </c>
      <c r="Q232" s="199">
        <f t="shared" si="100"/>
        <v>-9.6000000000003638E-2</v>
      </c>
      <c r="R232" s="199">
        <f t="shared" si="101"/>
        <v>99.971257485029938</v>
      </c>
      <c r="S232" s="199">
        <f>J232/$J$355*100</f>
        <v>0.24729853604468832</v>
      </c>
    </row>
    <row r="233" spans="1:19" s="204" customFormat="1" ht="42.75" customHeight="1" x14ac:dyDescent="0.3">
      <c r="A233" s="126" t="s">
        <v>395</v>
      </c>
      <c r="B233" s="127">
        <v>5</v>
      </c>
      <c r="C233" s="195">
        <v>2</v>
      </c>
      <c r="D233" s="219" t="s">
        <v>478</v>
      </c>
      <c r="E233" s="197">
        <v>240</v>
      </c>
      <c r="F233" s="197"/>
      <c r="G233" s="198">
        <v>334</v>
      </c>
      <c r="H233" s="198">
        <f>'[4]приложение №3 (5) 2022г.'!G172</f>
        <v>333.904</v>
      </c>
      <c r="I233" s="198">
        <f>I234</f>
        <v>333.904</v>
      </c>
      <c r="J233" s="198">
        <f>J234</f>
        <v>333.904</v>
      </c>
      <c r="K233" s="199">
        <f t="shared" si="94"/>
        <v>0</v>
      </c>
      <c r="L233" s="199">
        <f t="shared" si="95"/>
        <v>100</v>
      </c>
      <c r="M233" s="199">
        <f t="shared" si="96"/>
        <v>0</v>
      </c>
      <c r="N233" s="199">
        <f t="shared" si="97"/>
        <v>100</v>
      </c>
      <c r="O233" s="199">
        <f t="shared" si="98"/>
        <v>99.971257485029938</v>
      </c>
      <c r="P233" s="199">
        <f t="shared" si="99"/>
        <v>100</v>
      </c>
      <c r="Q233" s="199">
        <f t="shared" si="100"/>
        <v>-9.6000000000003638E-2</v>
      </c>
      <c r="R233" s="199">
        <f t="shared" si="101"/>
        <v>99.971257485029938</v>
      </c>
      <c r="S233" s="199">
        <f>J233/$J$355*100</f>
        <v>0.24729853604468832</v>
      </c>
    </row>
    <row r="234" spans="1:19" s="204" customFormat="1" ht="15" customHeight="1" x14ac:dyDescent="0.3">
      <c r="A234" s="126"/>
      <c r="B234" s="127">
        <v>5</v>
      </c>
      <c r="C234" s="195">
        <v>2</v>
      </c>
      <c r="D234" s="219" t="s">
        <v>478</v>
      </c>
      <c r="E234" s="197">
        <v>244</v>
      </c>
      <c r="F234" s="197">
        <v>346</v>
      </c>
      <c r="G234" s="198"/>
      <c r="H234" s="198"/>
      <c r="I234" s="198">
        <v>333.904</v>
      </c>
      <c r="J234" s="198">
        <v>333.904</v>
      </c>
      <c r="K234" s="199"/>
      <c r="L234" s="199"/>
      <c r="M234" s="199"/>
      <c r="N234" s="199"/>
      <c r="O234" s="199"/>
      <c r="P234" s="199"/>
      <c r="Q234" s="199"/>
      <c r="R234" s="199"/>
      <c r="S234" s="199"/>
    </row>
    <row r="235" spans="1:19" s="204" customFormat="1" ht="26.25" customHeight="1" x14ac:dyDescent="0.3">
      <c r="A235" s="201" t="s">
        <v>479</v>
      </c>
      <c r="B235" s="127">
        <v>5</v>
      </c>
      <c r="C235" s="195">
        <v>2</v>
      </c>
      <c r="D235" s="197" t="s">
        <v>480</v>
      </c>
      <c r="E235" s="197"/>
      <c r="F235" s="197"/>
      <c r="G235" s="198">
        <f t="shared" ref="G235" si="119">G237</f>
        <v>0</v>
      </c>
      <c r="H235" s="198">
        <f>H237</f>
        <v>282.02</v>
      </c>
      <c r="I235" s="198">
        <f t="shared" ref="I235:J235" si="120">I237</f>
        <v>282.02</v>
      </c>
      <c r="J235" s="198">
        <f t="shared" si="120"/>
        <v>282.02</v>
      </c>
      <c r="K235" s="199">
        <f t="shared" si="94"/>
        <v>0</v>
      </c>
      <c r="L235" s="199">
        <f t="shared" si="95"/>
        <v>100</v>
      </c>
      <c r="M235" s="199">
        <f t="shared" si="96"/>
        <v>0</v>
      </c>
      <c r="N235" s="199">
        <f t="shared" si="97"/>
        <v>100</v>
      </c>
      <c r="O235" s="199"/>
      <c r="P235" s="199">
        <f t="shared" si="99"/>
        <v>100</v>
      </c>
      <c r="Q235" s="199">
        <f t="shared" si="100"/>
        <v>282.02</v>
      </c>
      <c r="R235" s="199"/>
      <c r="S235" s="199">
        <f>J235/$J$355*100</f>
        <v>0.20887181086576678</v>
      </c>
    </row>
    <row r="236" spans="1:19" s="204" customFormat="1" ht="31.5" customHeight="1" x14ac:dyDescent="0.3">
      <c r="A236" s="201" t="s">
        <v>399</v>
      </c>
      <c r="B236" s="127">
        <v>5</v>
      </c>
      <c r="C236" s="195">
        <v>2</v>
      </c>
      <c r="D236" s="197" t="s">
        <v>480</v>
      </c>
      <c r="E236" s="197">
        <v>200</v>
      </c>
      <c r="F236" s="197"/>
      <c r="G236" s="198">
        <f t="shared" ref="G236:J236" si="121">G237</f>
        <v>0</v>
      </c>
      <c r="H236" s="198">
        <f>H237</f>
        <v>282.02</v>
      </c>
      <c r="I236" s="198">
        <f t="shared" si="121"/>
        <v>282.02</v>
      </c>
      <c r="J236" s="198">
        <f t="shared" si="121"/>
        <v>282.02</v>
      </c>
      <c r="K236" s="199">
        <f t="shared" si="94"/>
        <v>0</v>
      </c>
      <c r="L236" s="199">
        <f t="shared" si="95"/>
        <v>100</v>
      </c>
      <c r="M236" s="199">
        <f t="shared" si="96"/>
        <v>0</v>
      </c>
      <c r="N236" s="199">
        <f t="shared" si="97"/>
        <v>100</v>
      </c>
      <c r="O236" s="199"/>
      <c r="P236" s="199">
        <f t="shared" si="99"/>
        <v>100</v>
      </c>
      <c r="Q236" s="199">
        <f t="shared" si="100"/>
        <v>282.02</v>
      </c>
      <c r="R236" s="199"/>
      <c r="S236" s="199">
        <f>J236/$J$355*100</f>
        <v>0.20887181086576678</v>
      </c>
    </row>
    <row r="237" spans="1:19" s="204" customFormat="1" ht="36" customHeight="1" x14ac:dyDescent="0.3">
      <c r="A237" s="201" t="s">
        <v>395</v>
      </c>
      <c r="B237" s="127">
        <v>5</v>
      </c>
      <c r="C237" s="195">
        <v>2</v>
      </c>
      <c r="D237" s="197" t="s">
        <v>480</v>
      </c>
      <c r="E237" s="197">
        <v>240</v>
      </c>
      <c r="F237" s="197"/>
      <c r="G237" s="198"/>
      <c r="H237" s="198">
        <f>'[4]приложение №3 (5) 2022г.'!G175</f>
        <v>282.02</v>
      </c>
      <c r="I237" s="198">
        <f>I238</f>
        <v>282.02</v>
      </c>
      <c r="J237" s="198">
        <f>J238</f>
        <v>282.02</v>
      </c>
      <c r="K237" s="199">
        <f t="shared" si="94"/>
        <v>0</v>
      </c>
      <c r="L237" s="199">
        <f t="shared" si="95"/>
        <v>100</v>
      </c>
      <c r="M237" s="199">
        <f t="shared" si="96"/>
        <v>0</v>
      </c>
      <c r="N237" s="199">
        <f t="shared" si="97"/>
        <v>100</v>
      </c>
      <c r="O237" s="199"/>
      <c r="P237" s="199">
        <f t="shared" si="99"/>
        <v>100</v>
      </c>
      <c r="Q237" s="199">
        <f t="shared" si="100"/>
        <v>282.02</v>
      </c>
      <c r="R237" s="199"/>
      <c r="S237" s="199">
        <f>J237/$J$355*100</f>
        <v>0.20887181086576678</v>
      </c>
    </row>
    <row r="238" spans="1:19" s="204" customFormat="1" ht="15.75" customHeight="1" x14ac:dyDescent="0.3">
      <c r="A238" s="201"/>
      <c r="B238" s="127">
        <v>5</v>
      </c>
      <c r="C238" s="195">
        <v>2</v>
      </c>
      <c r="D238" s="197" t="s">
        <v>480</v>
      </c>
      <c r="E238" s="197">
        <v>244</v>
      </c>
      <c r="F238" s="197">
        <v>228</v>
      </c>
      <c r="G238" s="198"/>
      <c r="H238" s="198"/>
      <c r="I238" s="198">
        <v>282.02</v>
      </c>
      <c r="J238" s="198">
        <v>282.02</v>
      </c>
      <c r="K238" s="199"/>
      <c r="L238" s="199"/>
      <c r="M238" s="199"/>
      <c r="N238" s="199"/>
      <c r="O238" s="199"/>
      <c r="P238" s="199"/>
      <c r="Q238" s="199"/>
      <c r="R238" s="199"/>
      <c r="S238" s="199"/>
    </row>
    <row r="239" spans="1:19" s="204" customFormat="1" ht="29.25" customHeight="1" x14ac:dyDescent="0.3">
      <c r="A239" s="201" t="s">
        <v>481</v>
      </c>
      <c r="B239" s="127">
        <v>5</v>
      </c>
      <c r="C239" s="195">
        <v>2</v>
      </c>
      <c r="D239" s="197" t="s">
        <v>482</v>
      </c>
      <c r="E239" s="197"/>
      <c r="F239" s="197"/>
      <c r="G239" s="198">
        <f t="shared" ref="G239" si="122">G241</f>
        <v>0</v>
      </c>
      <c r="H239" s="198">
        <f>H241</f>
        <v>860</v>
      </c>
      <c r="I239" s="198">
        <f t="shared" ref="I239:J239" si="123">I241</f>
        <v>860</v>
      </c>
      <c r="J239" s="198">
        <f t="shared" si="123"/>
        <v>860</v>
      </c>
      <c r="K239" s="199">
        <f t="shared" si="94"/>
        <v>0</v>
      </c>
      <c r="L239" s="199">
        <f t="shared" si="95"/>
        <v>100</v>
      </c>
      <c r="M239" s="199">
        <f t="shared" si="96"/>
        <v>0</v>
      </c>
      <c r="N239" s="199">
        <f t="shared" si="97"/>
        <v>100</v>
      </c>
      <c r="O239" s="199"/>
      <c r="P239" s="199">
        <f t="shared" si="99"/>
        <v>100</v>
      </c>
      <c r="Q239" s="199">
        <f t="shared" si="100"/>
        <v>860</v>
      </c>
      <c r="R239" s="199"/>
      <c r="S239" s="199">
        <f>J239/$J$355*100</f>
        <v>0.63693978208836055</v>
      </c>
    </row>
    <row r="240" spans="1:19" s="204" customFormat="1" ht="28.5" customHeight="1" x14ac:dyDescent="0.3">
      <c r="A240" s="201" t="s">
        <v>399</v>
      </c>
      <c r="B240" s="127">
        <v>5</v>
      </c>
      <c r="C240" s="195">
        <v>2</v>
      </c>
      <c r="D240" s="197" t="s">
        <v>482</v>
      </c>
      <c r="E240" s="197">
        <v>200</v>
      </c>
      <c r="F240" s="197"/>
      <c r="G240" s="198">
        <f t="shared" ref="G240:J240" si="124">G241</f>
        <v>0</v>
      </c>
      <c r="H240" s="198">
        <f>H241</f>
        <v>860</v>
      </c>
      <c r="I240" s="198">
        <f t="shared" si="124"/>
        <v>860</v>
      </c>
      <c r="J240" s="198">
        <f t="shared" si="124"/>
        <v>860</v>
      </c>
      <c r="K240" s="199">
        <f t="shared" si="94"/>
        <v>0</v>
      </c>
      <c r="L240" s="199">
        <f t="shared" si="95"/>
        <v>100</v>
      </c>
      <c r="M240" s="199">
        <f t="shared" si="96"/>
        <v>0</v>
      </c>
      <c r="N240" s="199">
        <f t="shared" si="97"/>
        <v>100</v>
      </c>
      <c r="O240" s="199"/>
      <c r="P240" s="199">
        <f t="shared" si="99"/>
        <v>100</v>
      </c>
      <c r="Q240" s="199">
        <f t="shared" si="100"/>
        <v>860</v>
      </c>
      <c r="R240" s="199"/>
      <c r="S240" s="199">
        <f>J240/$J$355*100</f>
        <v>0.63693978208836055</v>
      </c>
    </row>
    <row r="241" spans="1:19" s="204" customFormat="1" ht="36" customHeight="1" x14ac:dyDescent="0.3">
      <c r="A241" s="201" t="s">
        <v>395</v>
      </c>
      <c r="B241" s="127">
        <v>5</v>
      </c>
      <c r="C241" s="195">
        <v>2</v>
      </c>
      <c r="D241" s="197" t="s">
        <v>482</v>
      </c>
      <c r="E241" s="197">
        <v>240</v>
      </c>
      <c r="F241" s="197"/>
      <c r="G241" s="198"/>
      <c r="H241" s="198">
        <f>'[4]приложение №3 (5) 2022г.'!G178</f>
        <v>860</v>
      </c>
      <c r="I241" s="198">
        <f>I242</f>
        <v>860</v>
      </c>
      <c r="J241" s="198">
        <f>J242</f>
        <v>860</v>
      </c>
      <c r="K241" s="199">
        <f t="shared" si="94"/>
        <v>0</v>
      </c>
      <c r="L241" s="199">
        <f t="shared" si="95"/>
        <v>100</v>
      </c>
      <c r="M241" s="199">
        <f t="shared" si="96"/>
        <v>0</v>
      </c>
      <c r="N241" s="199">
        <f t="shared" si="97"/>
        <v>100</v>
      </c>
      <c r="O241" s="199"/>
      <c r="P241" s="199">
        <f t="shared" si="99"/>
        <v>100</v>
      </c>
      <c r="Q241" s="199">
        <f t="shared" si="100"/>
        <v>860</v>
      </c>
      <c r="R241" s="199"/>
      <c r="S241" s="199">
        <f>J241/$J$355*100</f>
        <v>0.63693978208836055</v>
      </c>
    </row>
    <row r="242" spans="1:19" s="204" customFormat="1" ht="17.25" customHeight="1" x14ac:dyDescent="0.3">
      <c r="A242" s="201"/>
      <c r="B242" s="127">
        <v>5</v>
      </c>
      <c r="C242" s="195">
        <v>2</v>
      </c>
      <c r="D242" s="197" t="s">
        <v>482</v>
      </c>
      <c r="E242" s="197">
        <v>244</v>
      </c>
      <c r="F242" s="197">
        <v>226</v>
      </c>
      <c r="G242" s="198"/>
      <c r="H242" s="198"/>
      <c r="I242" s="198">
        <v>860</v>
      </c>
      <c r="J242" s="198">
        <v>860</v>
      </c>
      <c r="K242" s="199"/>
      <c r="L242" s="199"/>
      <c r="M242" s="199"/>
      <c r="N242" s="199"/>
      <c r="O242" s="199"/>
      <c r="P242" s="199"/>
      <c r="Q242" s="199"/>
      <c r="R242" s="199"/>
      <c r="S242" s="199"/>
    </row>
    <row r="243" spans="1:19" s="204" customFormat="1" ht="21.75" customHeight="1" x14ac:dyDescent="0.3">
      <c r="A243" s="126" t="s">
        <v>402</v>
      </c>
      <c r="B243" s="127">
        <v>5</v>
      </c>
      <c r="C243" s="195">
        <v>2</v>
      </c>
      <c r="D243" s="197" t="s">
        <v>473</v>
      </c>
      <c r="E243" s="197"/>
      <c r="F243" s="197"/>
      <c r="G243" s="198">
        <f t="shared" ref="G243:J244" si="125">G244</f>
        <v>0</v>
      </c>
      <c r="H243" s="198">
        <f t="shared" si="125"/>
        <v>2191.0070000000001</v>
      </c>
      <c r="I243" s="198">
        <f t="shared" si="125"/>
        <v>2191.0074</v>
      </c>
      <c r="J243" s="198">
        <f t="shared" si="125"/>
        <v>2191.0074</v>
      </c>
      <c r="K243" s="199">
        <f t="shared" si="94"/>
        <v>3.9999999989959178E-4</v>
      </c>
      <c r="L243" s="199">
        <f t="shared" si="95"/>
        <v>100.00001825644556</v>
      </c>
      <c r="M243" s="199">
        <f t="shared" si="96"/>
        <v>0</v>
      </c>
      <c r="N243" s="199">
        <f t="shared" si="97"/>
        <v>100</v>
      </c>
      <c r="O243" s="199"/>
      <c r="P243" s="199">
        <f t="shared" si="99"/>
        <v>100.00001825644556</v>
      </c>
      <c r="Q243" s="199">
        <f t="shared" si="100"/>
        <v>2191.0070000000001</v>
      </c>
      <c r="R243" s="199"/>
      <c r="S243" s="199">
        <f>J243/$J$355*100</f>
        <v>1.6227206696627738</v>
      </c>
    </row>
    <row r="244" spans="1:19" s="204" customFormat="1" ht="20.399999999999999" x14ac:dyDescent="0.3">
      <c r="A244" s="201" t="s">
        <v>399</v>
      </c>
      <c r="B244" s="127">
        <v>5</v>
      </c>
      <c r="C244" s="195">
        <v>2</v>
      </c>
      <c r="D244" s="197" t="s">
        <v>473</v>
      </c>
      <c r="E244" s="197">
        <v>200</v>
      </c>
      <c r="F244" s="197"/>
      <c r="G244" s="198">
        <f t="shared" si="125"/>
        <v>0</v>
      </c>
      <c r="H244" s="198">
        <f t="shared" si="125"/>
        <v>2191.0070000000001</v>
      </c>
      <c r="I244" s="198">
        <f t="shared" si="125"/>
        <v>2191.0074</v>
      </c>
      <c r="J244" s="198">
        <f t="shared" si="125"/>
        <v>2191.0074</v>
      </c>
      <c r="K244" s="199">
        <f t="shared" si="94"/>
        <v>3.9999999989959178E-4</v>
      </c>
      <c r="L244" s="199">
        <f t="shared" si="95"/>
        <v>100.00001825644556</v>
      </c>
      <c r="M244" s="199">
        <f t="shared" si="96"/>
        <v>0</v>
      </c>
      <c r="N244" s="199">
        <f t="shared" si="97"/>
        <v>100</v>
      </c>
      <c r="O244" s="199"/>
      <c r="P244" s="199">
        <f t="shared" si="99"/>
        <v>100.00001825644556</v>
      </c>
      <c r="Q244" s="199">
        <f t="shared" si="100"/>
        <v>2191.0070000000001</v>
      </c>
      <c r="R244" s="199"/>
      <c r="S244" s="199">
        <f>J244/$J$355*100</f>
        <v>1.6227206696627738</v>
      </c>
    </row>
    <row r="245" spans="1:19" s="204" customFormat="1" ht="36" customHeight="1" x14ac:dyDescent="0.3">
      <c r="A245" s="201" t="s">
        <v>395</v>
      </c>
      <c r="B245" s="127">
        <v>5</v>
      </c>
      <c r="C245" s="195">
        <v>2</v>
      </c>
      <c r="D245" s="197" t="s">
        <v>473</v>
      </c>
      <c r="E245" s="197">
        <v>240</v>
      </c>
      <c r="F245" s="197"/>
      <c r="G245" s="198"/>
      <c r="H245" s="198">
        <f>'[4]приложение №3 (5) 2022г.'!G181</f>
        <v>2191.0070000000001</v>
      </c>
      <c r="I245" s="198">
        <f>I246+I247+I248</f>
        <v>2191.0074</v>
      </c>
      <c r="J245" s="198">
        <f>J246+J247+J248</f>
        <v>2191.0074</v>
      </c>
      <c r="K245" s="199">
        <f t="shared" si="94"/>
        <v>3.9999999989959178E-4</v>
      </c>
      <c r="L245" s="199">
        <f t="shared" si="95"/>
        <v>100.00001825644556</v>
      </c>
      <c r="M245" s="199">
        <f t="shared" si="96"/>
        <v>0</v>
      </c>
      <c r="N245" s="199">
        <f t="shared" si="97"/>
        <v>100</v>
      </c>
      <c r="O245" s="199"/>
      <c r="P245" s="199">
        <f t="shared" si="99"/>
        <v>100.00001825644556</v>
      </c>
      <c r="Q245" s="199">
        <f t="shared" si="100"/>
        <v>2191.0070000000001</v>
      </c>
      <c r="R245" s="199"/>
      <c r="S245" s="199">
        <f>J245/$J$355*100</f>
        <v>1.6227206696627738</v>
      </c>
    </row>
    <row r="246" spans="1:19" s="204" customFormat="1" ht="18.75" customHeight="1" x14ac:dyDescent="0.3">
      <c r="A246" s="201"/>
      <c r="B246" s="127">
        <v>5</v>
      </c>
      <c r="C246" s="195">
        <v>2</v>
      </c>
      <c r="D246" s="197" t="s">
        <v>473</v>
      </c>
      <c r="E246" s="197">
        <v>244</v>
      </c>
      <c r="F246" s="197">
        <v>226</v>
      </c>
      <c r="G246" s="198"/>
      <c r="H246" s="198"/>
      <c r="I246" s="198">
        <v>120</v>
      </c>
      <c r="J246" s="198">
        <v>120</v>
      </c>
      <c r="K246" s="199"/>
      <c r="L246" s="199"/>
      <c r="M246" s="199"/>
      <c r="N246" s="199"/>
      <c r="O246" s="199"/>
      <c r="P246" s="199"/>
      <c r="Q246" s="199"/>
      <c r="R246" s="199"/>
      <c r="S246" s="199"/>
    </row>
    <row r="247" spans="1:19" s="204" customFormat="1" ht="18.75" customHeight="1" x14ac:dyDescent="0.3">
      <c r="A247" s="201"/>
      <c r="B247" s="127">
        <v>5</v>
      </c>
      <c r="C247" s="195">
        <v>2</v>
      </c>
      <c r="D247" s="197" t="s">
        <v>473</v>
      </c>
      <c r="E247" s="197">
        <v>244</v>
      </c>
      <c r="F247" s="197">
        <v>228</v>
      </c>
      <c r="G247" s="198"/>
      <c r="H247" s="198"/>
      <c r="I247" s="198">
        <v>517.21540000000005</v>
      </c>
      <c r="J247" s="198">
        <v>517.21540000000005</v>
      </c>
      <c r="K247" s="199"/>
      <c r="L247" s="199"/>
      <c r="M247" s="199"/>
      <c r="N247" s="199"/>
      <c r="O247" s="199"/>
      <c r="P247" s="199"/>
      <c r="Q247" s="199"/>
      <c r="R247" s="199"/>
      <c r="S247" s="199"/>
    </row>
    <row r="248" spans="1:19" s="204" customFormat="1" ht="18.75" customHeight="1" x14ac:dyDescent="0.3">
      <c r="A248" s="201"/>
      <c r="B248" s="127">
        <v>5</v>
      </c>
      <c r="C248" s="195">
        <v>2</v>
      </c>
      <c r="D248" s="197" t="s">
        <v>473</v>
      </c>
      <c r="E248" s="197">
        <v>244</v>
      </c>
      <c r="F248" s="197">
        <v>310</v>
      </c>
      <c r="G248" s="198"/>
      <c r="H248" s="198"/>
      <c r="I248" s="198">
        <v>1553.7919999999999</v>
      </c>
      <c r="J248" s="198">
        <v>1553.7919999999999</v>
      </c>
      <c r="K248" s="199"/>
      <c r="L248" s="199"/>
      <c r="M248" s="199"/>
      <c r="N248" s="199"/>
      <c r="O248" s="199"/>
      <c r="P248" s="199"/>
      <c r="Q248" s="199"/>
      <c r="R248" s="199"/>
      <c r="S248" s="199"/>
    </row>
    <row r="249" spans="1:19" s="204" customFormat="1" ht="39" customHeight="1" x14ac:dyDescent="0.3">
      <c r="A249" s="201" t="s">
        <v>483</v>
      </c>
      <c r="B249" s="127">
        <v>5</v>
      </c>
      <c r="C249" s="195">
        <v>2</v>
      </c>
      <c r="D249" s="197" t="s">
        <v>484</v>
      </c>
      <c r="E249" s="197"/>
      <c r="F249" s="197"/>
      <c r="G249" s="198">
        <f t="shared" ref="G249" si="126">G251</f>
        <v>0</v>
      </c>
      <c r="H249" s="198">
        <f>H251</f>
        <v>2122.1840000000002</v>
      </c>
      <c r="I249" s="198">
        <f t="shared" ref="I249:J249" si="127">I251</f>
        <v>2122.1847600000001</v>
      </c>
      <c r="J249" s="198">
        <f t="shared" si="127"/>
        <v>2122.1847600000001</v>
      </c>
      <c r="K249" s="199">
        <f t="shared" si="94"/>
        <v>7.5999999990017386E-4</v>
      </c>
      <c r="L249" s="199">
        <f t="shared" si="95"/>
        <v>100.00003581216332</v>
      </c>
      <c r="M249" s="199">
        <f t="shared" si="96"/>
        <v>0</v>
      </c>
      <c r="N249" s="199">
        <f t="shared" si="97"/>
        <v>100</v>
      </c>
      <c r="O249" s="199"/>
      <c r="P249" s="199">
        <f t="shared" si="99"/>
        <v>100.00003581216332</v>
      </c>
      <c r="Q249" s="199">
        <f t="shared" si="100"/>
        <v>2122.1840000000002</v>
      </c>
      <c r="R249" s="199"/>
      <c r="S249" s="199">
        <f>J249/$J$355*100</f>
        <v>1.5717487192856279</v>
      </c>
    </row>
    <row r="250" spans="1:19" s="204" customFormat="1" ht="21.75" customHeight="1" x14ac:dyDescent="0.3">
      <c r="A250" s="201" t="s">
        <v>400</v>
      </c>
      <c r="B250" s="127">
        <v>5</v>
      </c>
      <c r="C250" s="195">
        <v>2</v>
      </c>
      <c r="D250" s="197" t="s">
        <v>484</v>
      </c>
      <c r="E250" s="197">
        <v>800</v>
      </c>
      <c r="F250" s="197"/>
      <c r="G250" s="198">
        <f t="shared" ref="G250:J250" si="128">G251</f>
        <v>0</v>
      </c>
      <c r="H250" s="198">
        <f>H251</f>
        <v>2122.1840000000002</v>
      </c>
      <c r="I250" s="198">
        <f t="shared" si="128"/>
        <v>2122.1847600000001</v>
      </c>
      <c r="J250" s="198">
        <f t="shared" si="128"/>
        <v>2122.1847600000001</v>
      </c>
      <c r="K250" s="199">
        <f t="shared" si="94"/>
        <v>7.5999999990017386E-4</v>
      </c>
      <c r="L250" s="199">
        <f t="shared" si="95"/>
        <v>100.00003581216332</v>
      </c>
      <c r="M250" s="199">
        <f t="shared" si="96"/>
        <v>0</v>
      </c>
      <c r="N250" s="199">
        <f t="shared" si="97"/>
        <v>100</v>
      </c>
      <c r="O250" s="199"/>
      <c r="P250" s="199">
        <f t="shared" si="99"/>
        <v>100.00003581216332</v>
      </c>
      <c r="Q250" s="199">
        <f t="shared" si="100"/>
        <v>2122.1840000000002</v>
      </c>
      <c r="R250" s="199"/>
      <c r="S250" s="199">
        <f>J250/$J$355*100</f>
        <v>1.5717487192856279</v>
      </c>
    </row>
    <row r="251" spans="1:19" s="204" customFormat="1" ht="50.25" customHeight="1" x14ac:dyDescent="0.3">
      <c r="A251" s="201" t="s">
        <v>476</v>
      </c>
      <c r="B251" s="127">
        <v>5</v>
      </c>
      <c r="C251" s="195">
        <v>2</v>
      </c>
      <c r="D251" s="197" t="s">
        <v>484</v>
      </c>
      <c r="E251" s="197">
        <v>810</v>
      </c>
      <c r="F251" s="197"/>
      <c r="G251" s="198"/>
      <c r="H251" s="198">
        <f>'[4]приложение №3 (5) 2022г.'!G184</f>
        <v>2122.1840000000002</v>
      </c>
      <c r="I251" s="198">
        <f>I252</f>
        <v>2122.1847600000001</v>
      </c>
      <c r="J251" s="198">
        <f>J252</f>
        <v>2122.1847600000001</v>
      </c>
      <c r="K251" s="199">
        <f t="shared" si="94"/>
        <v>7.5999999990017386E-4</v>
      </c>
      <c r="L251" s="199">
        <f t="shared" si="95"/>
        <v>100.00003581216332</v>
      </c>
      <c r="M251" s="199">
        <f t="shared" si="96"/>
        <v>0</v>
      </c>
      <c r="N251" s="199">
        <f t="shared" si="97"/>
        <v>100</v>
      </c>
      <c r="O251" s="199"/>
      <c r="P251" s="199">
        <f t="shared" si="99"/>
        <v>100.00003581216332</v>
      </c>
      <c r="Q251" s="199">
        <f t="shared" si="100"/>
        <v>2122.1840000000002</v>
      </c>
      <c r="R251" s="199"/>
      <c r="S251" s="199">
        <f>J251/$J$355*100</f>
        <v>1.5717487192856279</v>
      </c>
    </row>
    <row r="252" spans="1:19" s="204" customFormat="1" ht="20.25" customHeight="1" x14ac:dyDescent="0.3">
      <c r="A252" s="201"/>
      <c r="B252" s="127">
        <v>5</v>
      </c>
      <c r="C252" s="195">
        <v>2</v>
      </c>
      <c r="D252" s="197" t="s">
        <v>484</v>
      </c>
      <c r="E252" s="197">
        <v>811</v>
      </c>
      <c r="F252" s="197">
        <v>244</v>
      </c>
      <c r="G252" s="198"/>
      <c r="H252" s="198"/>
      <c r="I252" s="198">
        <v>2122.1847600000001</v>
      </c>
      <c r="J252" s="198">
        <v>2122.1847600000001</v>
      </c>
      <c r="K252" s="199"/>
      <c r="L252" s="199"/>
      <c r="M252" s="199"/>
      <c r="N252" s="199"/>
      <c r="O252" s="199"/>
      <c r="P252" s="199"/>
      <c r="Q252" s="199"/>
      <c r="R252" s="199"/>
      <c r="S252" s="199"/>
    </row>
    <row r="253" spans="1:19" ht="21" customHeight="1" x14ac:dyDescent="0.2">
      <c r="A253" s="126" t="s">
        <v>370</v>
      </c>
      <c r="B253" s="127">
        <v>5</v>
      </c>
      <c r="C253" s="195">
        <v>2</v>
      </c>
      <c r="D253" s="197" t="s">
        <v>485</v>
      </c>
      <c r="E253" s="197"/>
      <c r="F253" s="197"/>
      <c r="G253" s="198">
        <f t="shared" ref="G253:J255" si="129">G254</f>
        <v>9000</v>
      </c>
      <c r="H253" s="198">
        <f>H254</f>
        <v>9000</v>
      </c>
      <c r="I253" s="198">
        <f t="shared" si="129"/>
        <v>9000</v>
      </c>
      <c r="J253" s="198">
        <f t="shared" si="129"/>
        <v>9000</v>
      </c>
      <c r="K253" s="199">
        <f t="shared" si="94"/>
        <v>0</v>
      </c>
      <c r="L253" s="199">
        <f t="shared" si="95"/>
        <v>100</v>
      </c>
      <c r="M253" s="199">
        <f t="shared" si="96"/>
        <v>0</v>
      </c>
      <c r="N253" s="199">
        <f t="shared" si="97"/>
        <v>100</v>
      </c>
      <c r="O253" s="199">
        <f t="shared" si="98"/>
        <v>100</v>
      </c>
      <c r="P253" s="199">
        <f t="shared" si="99"/>
        <v>100</v>
      </c>
      <c r="Q253" s="199">
        <f t="shared" si="100"/>
        <v>0</v>
      </c>
      <c r="R253" s="199">
        <f t="shared" si="101"/>
        <v>100</v>
      </c>
      <c r="S253" s="199">
        <f t="shared" ref="S253:S262" si="130">J253/$J$355*100</f>
        <v>6.6656488823200526</v>
      </c>
    </row>
    <row r="254" spans="1:19" ht="61.5" customHeight="1" x14ac:dyDescent="0.2">
      <c r="A254" s="201" t="s">
        <v>405</v>
      </c>
      <c r="B254" s="127">
        <v>5</v>
      </c>
      <c r="C254" s="195">
        <v>2</v>
      </c>
      <c r="D254" s="197" t="s">
        <v>486</v>
      </c>
      <c r="E254" s="197"/>
      <c r="F254" s="197"/>
      <c r="G254" s="198">
        <f t="shared" si="129"/>
        <v>9000</v>
      </c>
      <c r="H254" s="198">
        <f>H255</f>
        <v>9000</v>
      </c>
      <c r="I254" s="198">
        <f t="shared" si="129"/>
        <v>9000</v>
      </c>
      <c r="J254" s="198">
        <f t="shared" si="129"/>
        <v>9000</v>
      </c>
      <c r="K254" s="199">
        <f t="shared" si="94"/>
        <v>0</v>
      </c>
      <c r="L254" s="199">
        <f t="shared" si="95"/>
        <v>100</v>
      </c>
      <c r="M254" s="199">
        <f t="shared" si="96"/>
        <v>0</v>
      </c>
      <c r="N254" s="199">
        <f t="shared" si="97"/>
        <v>100</v>
      </c>
      <c r="O254" s="199">
        <f t="shared" si="98"/>
        <v>100</v>
      </c>
      <c r="P254" s="199">
        <f t="shared" si="99"/>
        <v>100</v>
      </c>
      <c r="Q254" s="199">
        <f t="shared" si="100"/>
        <v>0</v>
      </c>
      <c r="R254" s="199">
        <f t="shared" si="101"/>
        <v>100</v>
      </c>
      <c r="S254" s="199">
        <f t="shared" si="130"/>
        <v>6.6656488823200526</v>
      </c>
    </row>
    <row r="255" spans="1:19" ht="21" customHeight="1" x14ac:dyDescent="0.2">
      <c r="A255" s="201" t="s">
        <v>407</v>
      </c>
      <c r="B255" s="127">
        <v>5</v>
      </c>
      <c r="C255" s="195">
        <v>2</v>
      </c>
      <c r="D255" s="197" t="s">
        <v>486</v>
      </c>
      <c r="E255" s="197">
        <v>500</v>
      </c>
      <c r="F255" s="197"/>
      <c r="G255" s="198">
        <f t="shared" si="129"/>
        <v>9000</v>
      </c>
      <c r="H255" s="198">
        <f>H256</f>
        <v>9000</v>
      </c>
      <c r="I255" s="198">
        <f t="shared" si="129"/>
        <v>9000</v>
      </c>
      <c r="J255" s="198">
        <f t="shared" si="129"/>
        <v>9000</v>
      </c>
      <c r="K255" s="199">
        <f t="shared" si="94"/>
        <v>0</v>
      </c>
      <c r="L255" s="199">
        <f t="shared" si="95"/>
        <v>100</v>
      </c>
      <c r="M255" s="199">
        <f t="shared" si="96"/>
        <v>0</v>
      </c>
      <c r="N255" s="199">
        <f t="shared" si="97"/>
        <v>100</v>
      </c>
      <c r="O255" s="199">
        <f t="shared" si="98"/>
        <v>100</v>
      </c>
      <c r="P255" s="199">
        <f t="shared" si="99"/>
        <v>100</v>
      </c>
      <c r="Q255" s="199">
        <f t="shared" si="100"/>
        <v>0</v>
      </c>
      <c r="R255" s="199">
        <f t="shared" si="101"/>
        <v>100</v>
      </c>
      <c r="S255" s="199">
        <f t="shared" si="130"/>
        <v>6.6656488823200526</v>
      </c>
    </row>
    <row r="256" spans="1:19" ht="21.75" customHeight="1" x14ac:dyDescent="0.2">
      <c r="A256" s="201" t="s">
        <v>206</v>
      </c>
      <c r="B256" s="127">
        <v>5</v>
      </c>
      <c r="C256" s="195">
        <v>2</v>
      </c>
      <c r="D256" s="197" t="s">
        <v>486</v>
      </c>
      <c r="E256" s="197">
        <v>540</v>
      </c>
      <c r="F256" s="197">
        <v>251</v>
      </c>
      <c r="G256" s="198">
        <v>9000</v>
      </c>
      <c r="H256" s="198">
        <f>'[4]приложение №3 (5) 2022г.'!G188</f>
        <v>9000</v>
      </c>
      <c r="I256" s="198">
        <v>9000</v>
      </c>
      <c r="J256" s="198">
        <v>9000</v>
      </c>
      <c r="K256" s="199">
        <f t="shared" si="94"/>
        <v>0</v>
      </c>
      <c r="L256" s="199">
        <f t="shared" si="95"/>
        <v>100</v>
      </c>
      <c r="M256" s="199">
        <f t="shared" si="96"/>
        <v>0</v>
      </c>
      <c r="N256" s="199">
        <f t="shared" si="97"/>
        <v>100</v>
      </c>
      <c r="O256" s="199">
        <f t="shared" si="98"/>
        <v>100</v>
      </c>
      <c r="P256" s="199">
        <f t="shared" si="99"/>
        <v>100</v>
      </c>
      <c r="Q256" s="199">
        <f t="shared" si="100"/>
        <v>0</v>
      </c>
      <c r="R256" s="199">
        <f t="shared" si="101"/>
        <v>100</v>
      </c>
      <c r="S256" s="199">
        <f t="shared" si="130"/>
        <v>6.6656488823200526</v>
      </c>
    </row>
    <row r="257" spans="1:19" s="230" customFormat="1" ht="23.25" customHeight="1" x14ac:dyDescent="0.3">
      <c r="A257" s="237" t="s">
        <v>340</v>
      </c>
      <c r="B257" s="221">
        <v>5</v>
      </c>
      <c r="C257" s="222">
        <v>3</v>
      </c>
      <c r="D257" s="224"/>
      <c r="E257" s="224"/>
      <c r="F257" s="224"/>
      <c r="G257" s="225">
        <f t="shared" ref="G257:J258" si="131">G258</f>
        <v>8825.7999999999993</v>
      </c>
      <c r="H257" s="225">
        <f t="shared" si="131"/>
        <v>20180.148000000001</v>
      </c>
      <c r="I257" s="225">
        <f t="shared" si="131"/>
        <v>20180.150730000001</v>
      </c>
      <c r="J257" s="225">
        <f t="shared" si="131"/>
        <v>19511.964030000003</v>
      </c>
      <c r="K257" s="187">
        <f t="shared" si="94"/>
        <v>2.7300000001559965E-3</v>
      </c>
      <c r="L257" s="187">
        <f t="shared" si="95"/>
        <v>100.00001352814658</v>
      </c>
      <c r="M257" s="187">
        <f t="shared" si="96"/>
        <v>-668.18669999999838</v>
      </c>
      <c r="N257" s="187">
        <f t="shared" si="97"/>
        <v>96.688891431288141</v>
      </c>
      <c r="O257" s="187">
        <f t="shared" si="98"/>
        <v>221.07870142083442</v>
      </c>
      <c r="P257" s="187">
        <f t="shared" si="99"/>
        <v>96.688904511503097</v>
      </c>
      <c r="Q257" s="187">
        <f t="shared" si="100"/>
        <v>11354.348000000002</v>
      </c>
      <c r="R257" s="187">
        <f t="shared" si="101"/>
        <v>228.64950486074923</v>
      </c>
      <c r="S257" s="187">
        <f t="shared" si="130"/>
        <v>14.451100136493178</v>
      </c>
    </row>
    <row r="258" spans="1:19" s="204" customFormat="1" ht="15.75" customHeight="1" x14ac:dyDescent="0.3">
      <c r="A258" s="126" t="s">
        <v>370</v>
      </c>
      <c r="B258" s="127">
        <v>5</v>
      </c>
      <c r="C258" s="195">
        <v>3</v>
      </c>
      <c r="D258" s="197" t="s">
        <v>371</v>
      </c>
      <c r="E258" s="197"/>
      <c r="F258" s="197"/>
      <c r="G258" s="198">
        <f t="shared" si="131"/>
        <v>8825.7999999999993</v>
      </c>
      <c r="H258" s="198">
        <f t="shared" si="131"/>
        <v>20180.148000000001</v>
      </c>
      <c r="I258" s="198">
        <f t="shared" si="131"/>
        <v>20180.150730000001</v>
      </c>
      <c r="J258" s="198">
        <f t="shared" si="131"/>
        <v>19511.964030000003</v>
      </c>
      <c r="K258" s="199">
        <f t="shared" si="94"/>
        <v>2.7300000001559965E-3</v>
      </c>
      <c r="L258" s="199">
        <f t="shared" si="95"/>
        <v>100.00001352814658</v>
      </c>
      <c r="M258" s="199">
        <f t="shared" si="96"/>
        <v>-668.18669999999838</v>
      </c>
      <c r="N258" s="199">
        <f t="shared" si="97"/>
        <v>96.688891431288141</v>
      </c>
      <c r="O258" s="199">
        <f t="shared" si="98"/>
        <v>221.07870142083442</v>
      </c>
      <c r="P258" s="199">
        <f t="shared" si="99"/>
        <v>96.688904511503097</v>
      </c>
      <c r="Q258" s="199">
        <f t="shared" si="100"/>
        <v>11354.348000000002</v>
      </c>
      <c r="R258" s="199">
        <f t="shared" si="101"/>
        <v>228.64950486074923</v>
      </c>
      <c r="S258" s="199">
        <f t="shared" si="130"/>
        <v>14.451100136493178</v>
      </c>
    </row>
    <row r="259" spans="1:19" s="204" customFormat="1" ht="33.75" customHeight="1" x14ac:dyDescent="0.3">
      <c r="A259" s="126" t="s">
        <v>467</v>
      </c>
      <c r="B259" s="127">
        <v>5</v>
      </c>
      <c r="C259" s="195">
        <v>3</v>
      </c>
      <c r="D259" s="197" t="s">
        <v>468</v>
      </c>
      <c r="E259" s="197"/>
      <c r="F259" s="197"/>
      <c r="G259" s="198">
        <f t="shared" ref="G259:J259" si="132">G260+G265+G276</f>
        <v>8825.7999999999993</v>
      </c>
      <c r="H259" s="198">
        <f>H260+H265+H276</f>
        <v>20180.148000000001</v>
      </c>
      <c r="I259" s="198">
        <f t="shared" si="132"/>
        <v>20180.150730000001</v>
      </c>
      <c r="J259" s="198">
        <f t="shared" si="132"/>
        <v>19511.964030000003</v>
      </c>
      <c r="K259" s="199">
        <f t="shared" si="94"/>
        <v>2.7300000001559965E-3</v>
      </c>
      <c r="L259" s="199">
        <f t="shared" si="95"/>
        <v>100.00001352814658</v>
      </c>
      <c r="M259" s="199">
        <f t="shared" si="96"/>
        <v>-668.18669999999838</v>
      </c>
      <c r="N259" s="199">
        <f t="shared" si="97"/>
        <v>96.688891431288141</v>
      </c>
      <c r="O259" s="199">
        <f t="shared" si="98"/>
        <v>221.07870142083442</v>
      </c>
      <c r="P259" s="199">
        <f t="shared" si="99"/>
        <v>96.688904511503097</v>
      </c>
      <c r="Q259" s="199">
        <f t="shared" si="100"/>
        <v>11354.348000000002</v>
      </c>
      <c r="R259" s="199">
        <f t="shared" si="101"/>
        <v>228.64950486074923</v>
      </c>
      <c r="S259" s="199">
        <f t="shared" si="130"/>
        <v>14.451100136493178</v>
      </c>
    </row>
    <row r="260" spans="1:19" s="204" customFormat="1" ht="29.25" customHeight="1" x14ac:dyDescent="0.3">
      <c r="A260" s="126" t="s">
        <v>487</v>
      </c>
      <c r="B260" s="127">
        <v>5</v>
      </c>
      <c r="C260" s="195">
        <v>3</v>
      </c>
      <c r="D260" s="197" t="s">
        <v>488</v>
      </c>
      <c r="E260" s="197"/>
      <c r="F260" s="197"/>
      <c r="G260" s="198">
        <f t="shared" ref="G260:J261" si="133">G261</f>
        <v>0</v>
      </c>
      <c r="H260" s="198">
        <f t="shared" si="133"/>
        <v>1075.3050000000001</v>
      </c>
      <c r="I260" s="198">
        <f t="shared" si="133"/>
        <v>1075.3050000000001</v>
      </c>
      <c r="J260" s="198">
        <f t="shared" si="133"/>
        <v>1075.3050000000001</v>
      </c>
      <c r="K260" s="199">
        <f t="shared" si="94"/>
        <v>0</v>
      </c>
      <c r="L260" s="199">
        <f t="shared" si="95"/>
        <v>100</v>
      </c>
      <c r="M260" s="199">
        <f t="shared" si="96"/>
        <v>0</v>
      </c>
      <c r="N260" s="199">
        <f t="shared" si="97"/>
        <v>100</v>
      </c>
      <c r="O260" s="199"/>
      <c r="P260" s="199">
        <f t="shared" si="99"/>
        <v>100</v>
      </c>
      <c r="Q260" s="199">
        <f t="shared" si="100"/>
        <v>1075.3050000000001</v>
      </c>
      <c r="R260" s="199"/>
      <c r="S260" s="199">
        <f t="shared" si="130"/>
        <v>0.79640061904479609</v>
      </c>
    </row>
    <row r="261" spans="1:19" s="204" customFormat="1" ht="31.5" customHeight="1" x14ac:dyDescent="0.3">
      <c r="A261" s="201" t="s">
        <v>399</v>
      </c>
      <c r="B261" s="127">
        <v>5</v>
      </c>
      <c r="C261" s="195">
        <v>3</v>
      </c>
      <c r="D261" s="197" t="s">
        <v>488</v>
      </c>
      <c r="E261" s="197">
        <v>200</v>
      </c>
      <c r="F261" s="197"/>
      <c r="G261" s="198">
        <f t="shared" si="133"/>
        <v>0</v>
      </c>
      <c r="H261" s="198">
        <f t="shared" si="133"/>
        <v>1075.3050000000001</v>
      </c>
      <c r="I261" s="198">
        <f t="shared" si="133"/>
        <v>1075.3050000000001</v>
      </c>
      <c r="J261" s="198">
        <f t="shared" si="133"/>
        <v>1075.3050000000001</v>
      </c>
      <c r="K261" s="199">
        <f t="shared" si="94"/>
        <v>0</v>
      </c>
      <c r="L261" s="199">
        <f t="shared" si="95"/>
        <v>100</v>
      </c>
      <c r="M261" s="199">
        <f t="shared" si="96"/>
        <v>0</v>
      </c>
      <c r="N261" s="199">
        <f t="shared" si="97"/>
        <v>100</v>
      </c>
      <c r="O261" s="199"/>
      <c r="P261" s="199">
        <f t="shared" si="99"/>
        <v>100</v>
      </c>
      <c r="Q261" s="199">
        <f t="shared" si="100"/>
        <v>1075.3050000000001</v>
      </c>
      <c r="R261" s="199"/>
      <c r="S261" s="199">
        <f t="shared" si="130"/>
        <v>0.79640061904479609</v>
      </c>
    </row>
    <row r="262" spans="1:19" s="204" customFormat="1" ht="38.25" customHeight="1" x14ac:dyDescent="0.3">
      <c r="A262" s="201" t="s">
        <v>395</v>
      </c>
      <c r="B262" s="127">
        <v>5</v>
      </c>
      <c r="C262" s="195">
        <v>3</v>
      </c>
      <c r="D262" s="197" t="s">
        <v>488</v>
      </c>
      <c r="E262" s="197">
        <v>240</v>
      </c>
      <c r="F262" s="197"/>
      <c r="G262" s="198"/>
      <c r="H262" s="198">
        <f>'[4]приложение №3 (5) 2022г.'!G194</f>
        <v>1075.3050000000001</v>
      </c>
      <c r="I262" s="198">
        <f>I263+I264</f>
        <v>1075.3050000000001</v>
      </c>
      <c r="J262" s="198">
        <f>J263+J264</f>
        <v>1075.3050000000001</v>
      </c>
      <c r="K262" s="199">
        <f t="shared" si="94"/>
        <v>0</v>
      </c>
      <c r="L262" s="199">
        <f t="shared" si="95"/>
        <v>100</v>
      </c>
      <c r="M262" s="199">
        <f t="shared" si="96"/>
        <v>0</v>
      </c>
      <c r="N262" s="199">
        <f t="shared" si="97"/>
        <v>100</v>
      </c>
      <c r="O262" s="199"/>
      <c r="P262" s="199">
        <f t="shared" si="99"/>
        <v>100</v>
      </c>
      <c r="Q262" s="199">
        <f t="shared" si="100"/>
        <v>1075.3050000000001</v>
      </c>
      <c r="R262" s="199"/>
      <c r="S262" s="199">
        <f t="shared" si="130"/>
        <v>0.79640061904479609</v>
      </c>
    </row>
    <row r="263" spans="1:19" s="204" customFormat="1" ht="18.75" customHeight="1" x14ac:dyDescent="0.3">
      <c r="A263" s="201"/>
      <c r="B263" s="127">
        <v>5</v>
      </c>
      <c r="C263" s="195">
        <v>3</v>
      </c>
      <c r="D263" s="197" t="s">
        <v>488</v>
      </c>
      <c r="E263" s="197">
        <v>244</v>
      </c>
      <c r="F263" s="197">
        <v>310</v>
      </c>
      <c r="G263" s="198"/>
      <c r="H263" s="198"/>
      <c r="I263" s="198">
        <v>802.65700000000004</v>
      </c>
      <c r="J263" s="198">
        <v>802.65700000000004</v>
      </c>
      <c r="K263" s="199"/>
      <c r="L263" s="199"/>
      <c r="M263" s="199"/>
      <c r="N263" s="199"/>
      <c r="O263" s="199"/>
      <c r="P263" s="199"/>
      <c r="Q263" s="199"/>
      <c r="R263" s="199"/>
      <c r="S263" s="199"/>
    </row>
    <row r="264" spans="1:19" s="204" customFormat="1" ht="17.25" customHeight="1" x14ac:dyDescent="0.3">
      <c r="A264" s="201"/>
      <c r="B264" s="127">
        <v>5</v>
      </c>
      <c r="C264" s="195">
        <v>3</v>
      </c>
      <c r="D264" s="197" t="s">
        <v>488</v>
      </c>
      <c r="E264" s="197">
        <v>244</v>
      </c>
      <c r="F264" s="197">
        <v>346</v>
      </c>
      <c r="G264" s="198"/>
      <c r="H264" s="198"/>
      <c r="I264" s="198">
        <v>272.64800000000002</v>
      </c>
      <c r="J264" s="198">
        <v>272.64800000000002</v>
      </c>
      <c r="K264" s="199"/>
      <c r="L264" s="199"/>
      <c r="M264" s="199"/>
      <c r="N264" s="199"/>
      <c r="O264" s="199"/>
      <c r="P264" s="199"/>
      <c r="Q264" s="199"/>
      <c r="R264" s="199"/>
      <c r="S264" s="199"/>
    </row>
    <row r="265" spans="1:19" s="204" customFormat="1" ht="18" customHeight="1" x14ac:dyDescent="0.3">
      <c r="A265" s="126" t="s">
        <v>402</v>
      </c>
      <c r="B265" s="127">
        <v>5</v>
      </c>
      <c r="C265" s="195">
        <v>3</v>
      </c>
      <c r="D265" s="197" t="s">
        <v>473</v>
      </c>
      <c r="E265" s="197"/>
      <c r="F265" s="197"/>
      <c r="G265" s="198">
        <f t="shared" ref="G265:J266" si="134">G266</f>
        <v>8825.7999999999993</v>
      </c>
      <c r="H265" s="198">
        <f t="shared" si="134"/>
        <v>9396.5480000000007</v>
      </c>
      <c r="I265" s="198">
        <f t="shared" si="134"/>
        <v>9396.5500400000019</v>
      </c>
      <c r="J265" s="198">
        <f t="shared" si="134"/>
        <v>8728.3633399999999</v>
      </c>
      <c r="K265" s="199">
        <f t="shared" si="94"/>
        <v>2.040000001215958E-3</v>
      </c>
      <c r="L265" s="199">
        <f t="shared" si="95"/>
        <v>100.00002171010036</v>
      </c>
      <c r="M265" s="199">
        <f t="shared" si="96"/>
        <v>-668.18670000000202</v>
      </c>
      <c r="N265" s="199">
        <f t="shared" si="97"/>
        <v>92.889021000733138</v>
      </c>
      <c r="O265" s="199">
        <f t="shared" si="98"/>
        <v>98.896001948831838</v>
      </c>
      <c r="P265" s="199">
        <f t="shared" si="99"/>
        <v>92.889041167032829</v>
      </c>
      <c r="Q265" s="199">
        <f t="shared" si="100"/>
        <v>570.74800000000141</v>
      </c>
      <c r="R265" s="199">
        <f t="shared" si="101"/>
        <v>106.46681320673481</v>
      </c>
      <c r="S265" s="199">
        <f>J265/$J$355*100</f>
        <v>6.4644672601949242</v>
      </c>
    </row>
    <row r="266" spans="1:19" s="204" customFormat="1" ht="27" customHeight="1" x14ac:dyDescent="0.3">
      <c r="A266" s="201" t="s">
        <v>399</v>
      </c>
      <c r="B266" s="127">
        <v>5</v>
      </c>
      <c r="C266" s="195">
        <v>3</v>
      </c>
      <c r="D266" s="197" t="s">
        <v>473</v>
      </c>
      <c r="E266" s="197">
        <v>200</v>
      </c>
      <c r="F266" s="197"/>
      <c r="G266" s="198">
        <f t="shared" si="134"/>
        <v>8825.7999999999993</v>
      </c>
      <c r="H266" s="198">
        <f t="shared" si="134"/>
        <v>9396.5480000000007</v>
      </c>
      <c r="I266" s="198">
        <f t="shared" si="134"/>
        <v>9396.5500400000019</v>
      </c>
      <c r="J266" s="198">
        <f t="shared" si="134"/>
        <v>8728.3633399999999</v>
      </c>
      <c r="K266" s="199">
        <f t="shared" si="94"/>
        <v>2.040000001215958E-3</v>
      </c>
      <c r="L266" s="199">
        <f t="shared" si="95"/>
        <v>100.00002171010036</v>
      </c>
      <c r="M266" s="199">
        <f t="shared" si="96"/>
        <v>-668.18670000000202</v>
      </c>
      <c r="N266" s="199">
        <f t="shared" si="97"/>
        <v>92.889021000733138</v>
      </c>
      <c r="O266" s="199">
        <f t="shared" si="98"/>
        <v>98.896001948831838</v>
      </c>
      <c r="P266" s="199">
        <f t="shared" si="99"/>
        <v>92.889041167032829</v>
      </c>
      <c r="Q266" s="199">
        <f t="shared" si="100"/>
        <v>570.74800000000141</v>
      </c>
      <c r="R266" s="199">
        <f t="shared" si="101"/>
        <v>106.46681320673481</v>
      </c>
      <c r="S266" s="199">
        <f>J266/$J$355*100</f>
        <v>6.4644672601949242</v>
      </c>
    </row>
    <row r="267" spans="1:19" s="204" customFormat="1" ht="44.25" customHeight="1" x14ac:dyDescent="0.3">
      <c r="A267" s="201" t="s">
        <v>395</v>
      </c>
      <c r="B267" s="127">
        <v>5</v>
      </c>
      <c r="C267" s="195">
        <v>3</v>
      </c>
      <c r="D267" s="197" t="s">
        <v>473</v>
      </c>
      <c r="E267" s="197">
        <v>240</v>
      </c>
      <c r="F267" s="197"/>
      <c r="G267" s="198">
        <v>8825.7999999999993</v>
      </c>
      <c r="H267" s="198">
        <f>'[4]приложение №3 (5) 2022г.'!G197</f>
        <v>9396.5480000000007</v>
      </c>
      <c r="I267" s="198">
        <f>SUM(I268:I275)</f>
        <v>9396.5500400000019</v>
      </c>
      <c r="J267" s="198">
        <f>SUM(J268:J275)</f>
        <v>8728.3633399999999</v>
      </c>
      <c r="K267" s="199">
        <f t="shared" si="94"/>
        <v>2.040000001215958E-3</v>
      </c>
      <c r="L267" s="199">
        <f t="shared" si="95"/>
        <v>100.00002171010036</v>
      </c>
      <c r="M267" s="199">
        <f>J267-I267</f>
        <v>-668.18670000000202</v>
      </c>
      <c r="N267" s="199">
        <f t="shared" si="97"/>
        <v>92.889021000733138</v>
      </c>
      <c r="O267" s="199">
        <f t="shared" si="98"/>
        <v>98.896001948831838</v>
      </c>
      <c r="P267" s="199">
        <f t="shared" si="99"/>
        <v>92.889041167032829</v>
      </c>
      <c r="Q267" s="199">
        <f t="shared" si="100"/>
        <v>570.74800000000141</v>
      </c>
      <c r="R267" s="199">
        <f t="shared" si="101"/>
        <v>106.46681320673481</v>
      </c>
      <c r="S267" s="199">
        <f>J267/$J$355*100</f>
        <v>6.4644672601949242</v>
      </c>
    </row>
    <row r="268" spans="1:19" s="204" customFormat="1" ht="21.75" customHeight="1" x14ac:dyDescent="0.3">
      <c r="A268" s="201"/>
      <c r="B268" s="127">
        <v>5</v>
      </c>
      <c r="C268" s="195">
        <v>3</v>
      </c>
      <c r="D268" s="197" t="s">
        <v>473</v>
      </c>
      <c r="E268" s="197">
        <v>244</v>
      </c>
      <c r="F268" s="197">
        <v>223</v>
      </c>
      <c r="G268" s="198"/>
      <c r="H268" s="198"/>
      <c r="I268" s="198">
        <v>10.12852</v>
      </c>
      <c r="J268" s="198">
        <v>10.12852</v>
      </c>
      <c r="K268" s="199"/>
      <c r="L268" s="199"/>
      <c r="M268" s="199">
        <f t="shared" ref="M268:M275" si="135">J268-I268</f>
        <v>0</v>
      </c>
      <c r="N268" s="199"/>
      <c r="O268" s="199"/>
      <c r="P268" s="199"/>
      <c r="Q268" s="199"/>
      <c r="R268" s="199"/>
      <c r="S268" s="199"/>
    </row>
    <row r="269" spans="1:19" s="204" customFormat="1" x14ac:dyDescent="0.3">
      <c r="A269" s="201"/>
      <c r="B269" s="127">
        <v>5</v>
      </c>
      <c r="C269" s="195">
        <v>3</v>
      </c>
      <c r="D269" s="197" t="s">
        <v>473</v>
      </c>
      <c r="E269" s="197">
        <v>244</v>
      </c>
      <c r="F269" s="197">
        <v>225</v>
      </c>
      <c r="G269" s="198"/>
      <c r="H269" s="198"/>
      <c r="I269" s="198">
        <v>2158.6232500000001</v>
      </c>
      <c r="J269" s="198">
        <v>2016.1686199999999</v>
      </c>
      <c r="K269" s="199"/>
      <c r="L269" s="199"/>
      <c r="M269" s="199">
        <f t="shared" si="135"/>
        <v>-142.45463000000018</v>
      </c>
      <c r="N269" s="199"/>
      <c r="O269" s="199"/>
      <c r="P269" s="199"/>
      <c r="Q269" s="199"/>
      <c r="R269" s="199"/>
      <c r="S269" s="199"/>
    </row>
    <row r="270" spans="1:19" s="204" customFormat="1" ht="19.5" customHeight="1" x14ac:dyDescent="0.3">
      <c r="A270" s="201"/>
      <c r="B270" s="127">
        <v>5</v>
      </c>
      <c r="C270" s="195">
        <v>3</v>
      </c>
      <c r="D270" s="197" t="s">
        <v>473</v>
      </c>
      <c r="E270" s="197">
        <v>244</v>
      </c>
      <c r="F270" s="197">
        <v>226</v>
      </c>
      <c r="G270" s="198"/>
      <c r="H270" s="198"/>
      <c r="I270" s="198">
        <v>1165</v>
      </c>
      <c r="J270" s="198">
        <v>965</v>
      </c>
      <c r="K270" s="199"/>
      <c r="L270" s="199"/>
      <c r="M270" s="199">
        <f t="shared" si="135"/>
        <v>-200</v>
      </c>
      <c r="N270" s="199"/>
      <c r="O270" s="199"/>
      <c r="P270" s="199"/>
      <c r="Q270" s="199"/>
      <c r="R270" s="199"/>
      <c r="S270" s="199"/>
    </row>
    <row r="271" spans="1:19" s="204" customFormat="1" ht="21" customHeight="1" x14ac:dyDescent="0.3">
      <c r="A271" s="201"/>
      <c r="B271" s="127">
        <v>5</v>
      </c>
      <c r="C271" s="195">
        <v>3</v>
      </c>
      <c r="D271" s="197" t="s">
        <v>473</v>
      </c>
      <c r="E271" s="197">
        <v>244</v>
      </c>
      <c r="F271" s="197">
        <v>228</v>
      </c>
      <c r="G271" s="198"/>
      <c r="H271" s="198"/>
      <c r="I271" s="198">
        <v>361</v>
      </c>
      <c r="J271" s="198">
        <v>361</v>
      </c>
      <c r="K271" s="199"/>
      <c r="L271" s="199"/>
      <c r="M271" s="199">
        <f t="shared" si="135"/>
        <v>0</v>
      </c>
      <c r="N271" s="199"/>
      <c r="O271" s="199"/>
      <c r="P271" s="199"/>
      <c r="Q271" s="199"/>
      <c r="R271" s="199"/>
      <c r="S271" s="199"/>
    </row>
    <row r="272" spans="1:19" s="204" customFormat="1" ht="19.5" customHeight="1" x14ac:dyDescent="0.3">
      <c r="A272" s="201"/>
      <c r="B272" s="127">
        <v>5</v>
      </c>
      <c r="C272" s="195">
        <v>3</v>
      </c>
      <c r="D272" s="197" t="s">
        <v>473</v>
      </c>
      <c r="E272" s="197">
        <v>244</v>
      </c>
      <c r="F272" s="197">
        <v>310</v>
      </c>
      <c r="G272" s="198"/>
      <c r="H272" s="198"/>
      <c r="I272" s="198">
        <v>4209.4530400000003</v>
      </c>
      <c r="J272" s="198">
        <v>4209.4530400000003</v>
      </c>
      <c r="K272" s="199"/>
      <c r="L272" s="199"/>
      <c r="M272" s="199">
        <f t="shared" si="135"/>
        <v>0</v>
      </c>
      <c r="N272" s="199"/>
      <c r="O272" s="199"/>
      <c r="P272" s="199"/>
      <c r="Q272" s="199"/>
      <c r="R272" s="199"/>
      <c r="S272" s="199"/>
    </row>
    <row r="273" spans="1:19" s="204" customFormat="1" ht="17.25" customHeight="1" x14ac:dyDescent="0.3">
      <c r="A273" s="201"/>
      <c r="B273" s="127">
        <v>5</v>
      </c>
      <c r="C273" s="195">
        <v>3</v>
      </c>
      <c r="D273" s="197" t="s">
        <v>473</v>
      </c>
      <c r="E273" s="197">
        <v>244</v>
      </c>
      <c r="F273" s="197">
        <v>344</v>
      </c>
      <c r="G273" s="198"/>
      <c r="H273" s="198"/>
      <c r="I273" s="198">
        <v>24.294</v>
      </c>
      <c r="J273" s="198">
        <v>24.294</v>
      </c>
      <c r="K273" s="199"/>
      <c r="L273" s="199"/>
      <c r="M273" s="199">
        <f t="shared" si="135"/>
        <v>0</v>
      </c>
      <c r="N273" s="199"/>
      <c r="O273" s="199"/>
      <c r="P273" s="199"/>
      <c r="Q273" s="199"/>
      <c r="R273" s="199"/>
      <c r="S273" s="199"/>
    </row>
    <row r="274" spans="1:19" s="204" customFormat="1" ht="18.75" customHeight="1" x14ac:dyDescent="0.3">
      <c r="A274" s="201"/>
      <c r="B274" s="127">
        <v>5</v>
      </c>
      <c r="C274" s="195">
        <v>3</v>
      </c>
      <c r="D274" s="197" t="s">
        <v>473</v>
      </c>
      <c r="E274" s="197">
        <v>244</v>
      </c>
      <c r="F274" s="197">
        <v>346</v>
      </c>
      <c r="G274" s="198"/>
      <c r="H274" s="198"/>
      <c r="I274" s="198">
        <v>268.73500000000001</v>
      </c>
      <c r="J274" s="198">
        <v>255.64752999999999</v>
      </c>
      <c r="K274" s="199"/>
      <c r="L274" s="199"/>
      <c r="M274" s="199">
        <f t="shared" si="135"/>
        <v>-13.087470000000025</v>
      </c>
      <c r="N274" s="199"/>
      <c r="O274" s="199"/>
      <c r="P274" s="199"/>
      <c r="Q274" s="199"/>
      <c r="R274" s="199"/>
      <c r="S274" s="199"/>
    </row>
    <row r="275" spans="1:19" s="204" customFormat="1" ht="16.5" customHeight="1" x14ac:dyDescent="0.3">
      <c r="A275" s="201"/>
      <c r="B275" s="127">
        <v>5</v>
      </c>
      <c r="C275" s="195">
        <v>3</v>
      </c>
      <c r="D275" s="197" t="s">
        <v>473</v>
      </c>
      <c r="E275" s="197">
        <v>247</v>
      </c>
      <c r="F275" s="197">
        <v>223</v>
      </c>
      <c r="G275" s="198"/>
      <c r="H275" s="198"/>
      <c r="I275" s="198">
        <v>1199.3162299999999</v>
      </c>
      <c r="J275" s="198">
        <v>886.67163000000005</v>
      </c>
      <c r="K275" s="199"/>
      <c r="L275" s="199"/>
      <c r="M275" s="199">
        <f t="shared" si="135"/>
        <v>-312.64459999999985</v>
      </c>
      <c r="N275" s="199"/>
      <c r="O275" s="199"/>
      <c r="P275" s="199"/>
      <c r="Q275" s="199"/>
      <c r="R275" s="199"/>
      <c r="S275" s="199"/>
    </row>
    <row r="276" spans="1:19" s="204" customFormat="1" ht="30" customHeight="1" x14ac:dyDescent="0.3">
      <c r="A276" s="126" t="s">
        <v>489</v>
      </c>
      <c r="B276" s="127">
        <v>5</v>
      </c>
      <c r="C276" s="195">
        <v>3</v>
      </c>
      <c r="D276" s="197" t="s">
        <v>490</v>
      </c>
      <c r="E276" s="197"/>
      <c r="F276" s="197"/>
      <c r="G276" s="198">
        <f t="shared" ref="G276:J278" si="136">G277</f>
        <v>0</v>
      </c>
      <c r="H276" s="198">
        <f t="shared" si="136"/>
        <v>9708.2950000000001</v>
      </c>
      <c r="I276" s="198">
        <f t="shared" si="136"/>
        <v>9708.2956900000008</v>
      </c>
      <c r="J276" s="198">
        <f t="shared" si="136"/>
        <v>9708.2956900000008</v>
      </c>
      <c r="K276" s="199">
        <f t="shared" si="94"/>
        <v>6.900000007590279E-4</v>
      </c>
      <c r="L276" s="199">
        <f t="shared" si="95"/>
        <v>100.00000710732422</v>
      </c>
      <c r="M276" s="199">
        <f t="shared" si="96"/>
        <v>0</v>
      </c>
      <c r="N276" s="199">
        <f t="shared" si="97"/>
        <v>100</v>
      </c>
      <c r="O276" s="199"/>
      <c r="P276" s="199">
        <f t="shared" si="99"/>
        <v>100.00000710732422</v>
      </c>
      <c r="Q276" s="199">
        <f t="shared" si="100"/>
        <v>9708.2950000000001</v>
      </c>
      <c r="R276" s="199"/>
      <c r="S276" s="199">
        <f>J276/$J$355*100</f>
        <v>7.1902322572534541</v>
      </c>
    </row>
    <row r="277" spans="1:19" s="204" customFormat="1" ht="30.75" customHeight="1" x14ac:dyDescent="0.3">
      <c r="A277" s="126" t="s">
        <v>491</v>
      </c>
      <c r="B277" s="127">
        <v>5</v>
      </c>
      <c r="C277" s="195">
        <v>3</v>
      </c>
      <c r="D277" s="197" t="s">
        <v>492</v>
      </c>
      <c r="E277" s="197"/>
      <c r="F277" s="197"/>
      <c r="G277" s="198">
        <f t="shared" si="136"/>
        <v>0</v>
      </c>
      <c r="H277" s="198">
        <f t="shared" si="136"/>
        <v>9708.2950000000001</v>
      </c>
      <c r="I277" s="198">
        <f t="shared" si="136"/>
        <v>9708.2956900000008</v>
      </c>
      <c r="J277" s="198">
        <f t="shared" si="136"/>
        <v>9708.2956900000008</v>
      </c>
      <c r="K277" s="199">
        <f t="shared" si="94"/>
        <v>6.900000007590279E-4</v>
      </c>
      <c r="L277" s="199">
        <f t="shared" si="95"/>
        <v>100.00000710732422</v>
      </c>
      <c r="M277" s="199">
        <f t="shared" si="96"/>
        <v>0</v>
      </c>
      <c r="N277" s="199">
        <f t="shared" si="97"/>
        <v>100</v>
      </c>
      <c r="O277" s="199"/>
      <c r="P277" s="199">
        <f t="shared" si="99"/>
        <v>100.00000710732422</v>
      </c>
      <c r="Q277" s="199">
        <f t="shared" si="100"/>
        <v>9708.2950000000001</v>
      </c>
      <c r="R277" s="199"/>
      <c r="S277" s="199">
        <f>J277/$J$355*100</f>
        <v>7.1902322572534541</v>
      </c>
    </row>
    <row r="278" spans="1:19" s="204" customFormat="1" ht="27.75" customHeight="1" x14ac:dyDescent="0.3">
      <c r="A278" s="201" t="s">
        <v>399</v>
      </c>
      <c r="B278" s="127">
        <v>5</v>
      </c>
      <c r="C278" s="195">
        <v>3</v>
      </c>
      <c r="D278" s="197" t="s">
        <v>492</v>
      </c>
      <c r="E278" s="197">
        <v>200</v>
      </c>
      <c r="F278" s="197"/>
      <c r="G278" s="198">
        <f t="shared" si="136"/>
        <v>0</v>
      </c>
      <c r="H278" s="198">
        <f t="shared" si="136"/>
        <v>9708.2950000000001</v>
      </c>
      <c r="I278" s="198">
        <f t="shared" si="136"/>
        <v>9708.2956900000008</v>
      </c>
      <c r="J278" s="198">
        <f t="shared" si="136"/>
        <v>9708.2956900000008</v>
      </c>
      <c r="K278" s="199">
        <f t="shared" si="94"/>
        <v>6.900000007590279E-4</v>
      </c>
      <c r="L278" s="199">
        <f t="shared" si="95"/>
        <v>100.00000710732422</v>
      </c>
      <c r="M278" s="199">
        <f t="shared" si="96"/>
        <v>0</v>
      </c>
      <c r="N278" s="199">
        <f t="shared" si="97"/>
        <v>100</v>
      </c>
      <c r="O278" s="199"/>
      <c r="P278" s="199">
        <f t="shared" si="99"/>
        <v>100.00000710732422</v>
      </c>
      <c r="Q278" s="199">
        <f t="shared" si="100"/>
        <v>9708.2950000000001</v>
      </c>
      <c r="R278" s="199"/>
      <c r="S278" s="199">
        <f>J278/$J$355*100</f>
        <v>7.1902322572534541</v>
      </c>
    </row>
    <row r="279" spans="1:19" s="204" customFormat="1" ht="42" customHeight="1" x14ac:dyDescent="0.3">
      <c r="A279" s="201" t="s">
        <v>395</v>
      </c>
      <c r="B279" s="127">
        <v>5</v>
      </c>
      <c r="C279" s="195">
        <v>3</v>
      </c>
      <c r="D279" s="197" t="s">
        <v>492</v>
      </c>
      <c r="E279" s="197">
        <v>240</v>
      </c>
      <c r="F279" s="197"/>
      <c r="G279" s="198"/>
      <c r="H279" s="198">
        <f>'[4]приложение №3 (5) 2022г.'!G201</f>
        <v>9708.2950000000001</v>
      </c>
      <c r="I279" s="198">
        <f>I280</f>
        <v>9708.2956900000008</v>
      </c>
      <c r="J279" s="198">
        <f>J280</f>
        <v>9708.2956900000008</v>
      </c>
      <c r="K279" s="199">
        <f t="shared" si="94"/>
        <v>6.900000007590279E-4</v>
      </c>
      <c r="L279" s="199">
        <f t="shared" si="95"/>
        <v>100.00000710732422</v>
      </c>
      <c r="M279" s="199">
        <f t="shared" si="96"/>
        <v>0</v>
      </c>
      <c r="N279" s="199">
        <f t="shared" si="97"/>
        <v>100</v>
      </c>
      <c r="O279" s="199"/>
      <c r="P279" s="199">
        <f t="shared" si="99"/>
        <v>100.00000710732422</v>
      </c>
      <c r="Q279" s="199">
        <f t="shared" si="100"/>
        <v>9708.2950000000001</v>
      </c>
      <c r="R279" s="199"/>
      <c r="S279" s="199">
        <f>J279/$J$355*100</f>
        <v>7.1902322572534541</v>
      </c>
    </row>
    <row r="280" spans="1:19" s="204" customFormat="1" ht="22.5" customHeight="1" x14ac:dyDescent="0.3">
      <c r="A280" s="201"/>
      <c r="B280" s="127">
        <v>5</v>
      </c>
      <c r="C280" s="195">
        <v>3</v>
      </c>
      <c r="D280" s="197" t="s">
        <v>492</v>
      </c>
      <c r="E280" s="197">
        <v>244</v>
      </c>
      <c r="F280" s="197">
        <v>310</v>
      </c>
      <c r="G280" s="198"/>
      <c r="H280" s="198"/>
      <c r="I280" s="198">
        <v>9708.2956900000008</v>
      </c>
      <c r="J280" s="198">
        <v>9708.2956900000008</v>
      </c>
      <c r="K280" s="199"/>
      <c r="L280" s="199"/>
      <c r="M280" s="199"/>
      <c r="N280" s="199"/>
      <c r="O280" s="199"/>
      <c r="P280" s="199"/>
      <c r="Q280" s="199"/>
      <c r="R280" s="199"/>
      <c r="S280" s="199"/>
    </row>
    <row r="281" spans="1:19" s="230" customFormat="1" ht="21.75" customHeight="1" x14ac:dyDescent="0.3">
      <c r="A281" s="237" t="s">
        <v>341</v>
      </c>
      <c r="B281" s="221">
        <v>6</v>
      </c>
      <c r="C281" s="222"/>
      <c r="D281" s="224"/>
      <c r="E281" s="224"/>
      <c r="F281" s="224"/>
      <c r="G281" s="225">
        <f t="shared" ref="G281:G282" si="137">G283</f>
        <v>0</v>
      </c>
      <c r="H281" s="225">
        <f>H283</f>
        <v>660</v>
      </c>
      <c r="I281" s="225">
        <f t="shared" ref="I281:J282" si="138">I283</f>
        <v>660</v>
      </c>
      <c r="J281" s="225">
        <f t="shared" si="138"/>
        <v>660</v>
      </c>
      <c r="K281" s="187">
        <f t="shared" si="94"/>
        <v>0</v>
      </c>
      <c r="L281" s="187">
        <f t="shared" si="95"/>
        <v>100</v>
      </c>
      <c r="M281" s="187">
        <f t="shared" si="96"/>
        <v>0</v>
      </c>
      <c r="N281" s="187">
        <f t="shared" si="97"/>
        <v>100</v>
      </c>
      <c r="O281" s="187"/>
      <c r="P281" s="187">
        <f t="shared" si="99"/>
        <v>100</v>
      </c>
      <c r="Q281" s="187">
        <f t="shared" si="100"/>
        <v>660</v>
      </c>
      <c r="R281" s="187"/>
      <c r="S281" s="187">
        <f t="shared" ref="S281:S287" si="139">J281/$J$355*100</f>
        <v>0.48881425137013723</v>
      </c>
    </row>
    <row r="282" spans="1:19" s="230" customFormat="1" ht="30" customHeight="1" x14ac:dyDescent="0.3">
      <c r="A282" s="237" t="s">
        <v>342</v>
      </c>
      <c r="B282" s="221">
        <v>6</v>
      </c>
      <c r="C282" s="222">
        <v>5</v>
      </c>
      <c r="D282" s="224"/>
      <c r="E282" s="224"/>
      <c r="F282" s="224"/>
      <c r="G282" s="225">
        <f t="shared" si="137"/>
        <v>0</v>
      </c>
      <c r="H282" s="225">
        <f>H284</f>
        <v>660</v>
      </c>
      <c r="I282" s="225">
        <f t="shared" si="138"/>
        <v>660</v>
      </c>
      <c r="J282" s="225">
        <f t="shared" si="138"/>
        <v>660</v>
      </c>
      <c r="K282" s="187">
        <f t="shared" si="94"/>
        <v>0</v>
      </c>
      <c r="L282" s="187">
        <f t="shared" si="95"/>
        <v>100</v>
      </c>
      <c r="M282" s="187">
        <f t="shared" si="96"/>
        <v>0</v>
      </c>
      <c r="N282" s="187">
        <f t="shared" si="97"/>
        <v>100</v>
      </c>
      <c r="O282" s="187"/>
      <c r="P282" s="187">
        <f t="shared" si="99"/>
        <v>100</v>
      </c>
      <c r="Q282" s="187">
        <f t="shared" si="100"/>
        <v>660</v>
      </c>
      <c r="R282" s="187"/>
      <c r="S282" s="187">
        <f t="shared" si="139"/>
        <v>0.48881425137013723</v>
      </c>
    </row>
    <row r="283" spans="1:19" s="204" customFormat="1" ht="24" customHeight="1" x14ac:dyDescent="0.3">
      <c r="A283" s="126" t="s">
        <v>370</v>
      </c>
      <c r="B283" s="127">
        <v>6</v>
      </c>
      <c r="C283" s="195">
        <v>5</v>
      </c>
      <c r="D283" s="197" t="s">
        <v>371</v>
      </c>
      <c r="E283" s="197"/>
      <c r="F283" s="197"/>
      <c r="G283" s="198">
        <f t="shared" ref="G283:J286" si="140">G284</f>
        <v>0</v>
      </c>
      <c r="H283" s="198">
        <f>H284</f>
        <v>660</v>
      </c>
      <c r="I283" s="198">
        <f t="shared" si="140"/>
        <v>660</v>
      </c>
      <c r="J283" s="198">
        <f t="shared" si="140"/>
        <v>660</v>
      </c>
      <c r="K283" s="199">
        <f t="shared" si="94"/>
        <v>0</v>
      </c>
      <c r="L283" s="199">
        <f t="shared" si="95"/>
        <v>100</v>
      </c>
      <c r="M283" s="199">
        <f t="shared" si="96"/>
        <v>0</v>
      </c>
      <c r="N283" s="199">
        <f t="shared" si="97"/>
        <v>100</v>
      </c>
      <c r="O283" s="199"/>
      <c r="P283" s="199">
        <f t="shared" si="99"/>
        <v>100</v>
      </c>
      <c r="Q283" s="199">
        <f t="shared" si="100"/>
        <v>660</v>
      </c>
      <c r="R283" s="199"/>
      <c r="S283" s="199">
        <f t="shared" si="139"/>
        <v>0.48881425137013723</v>
      </c>
    </row>
    <row r="284" spans="1:19" s="204" customFormat="1" ht="19.5" customHeight="1" x14ac:dyDescent="0.3">
      <c r="A284" s="126" t="s">
        <v>493</v>
      </c>
      <c r="B284" s="127">
        <v>6</v>
      </c>
      <c r="C284" s="195">
        <v>5</v>
      </c>
      <c r="D284" s="197" t="s">
        <v>494</v>
      </c>
      <c r="E284" s="197"/>
      <c r="F284" s="197"/>
      <c r="G284" s="198">
        <f t="shared" si="140"/>
        <v>0</v>
      </c>
      <c r="H284" s="198">
        <f>H285</f>
        <v>660</v>
      </c>
      <c r="I284" s="198">
        <f t="shared" si="140"/>
        <v>660</v>
      </c>
      <c r="J284" s="198">
        <f t="shared" si="140"/>
        <v>660</v>
      </c>
      <c r="K284" s="199">
        <f t="shared" si="94"/>
        <v>0</v>
      </c>
      <c r="L284" s="199">
        <f t="shared" si="95"/>
        <v>100</v>
      </c>
      <c r="M284" s="199">
        <f t="shared" si="96"/>
        <v>0</v>
      </c>
      <c r="N284" s="199">
        <f t="shared" si="97"/>
        <v>100</v>
      </c>
      <c r="O284" s="199"/>
      <c r="P284" s="199">
        <f t="shared" si="99"/>
        <v>100</v>
      </c>
      <c r="Q284" s="199">
        <f t="shared" si="100"/>
        <v>660</v>
      </c>
      <c r="R284" s="199"/>
      <c r="S284" s="199">
        <f t="shared" si="139"/>
        <v>0.48881425137013723</v>
      </c>
    </row>
    <row r="285" spans="1:19" s="204" customFormat="1" ht="28.5" customHeight="1" x14ac:dyDescent="0.3">
      <c r="A285" s="126" t="s">
        <v>495</v>
      </c>
      <c r="B285" s="127">
        <v>6</v>
      </c>
      <c r="C285" s="195">
        <v>5</v>
      </c>
      <c r="D285" s="197" t="s">
        <v>496</v>
      </c>
      <c r="E285" s="197"/>
      <c r="F285" s="197"/>
      <c r="G285" s="198">
        <f t="shared" si="140"/>
        <v>0</v>
      </c>
      <c r="H285" s="198">
        <f>H286</f>
        <v>660</v>
      </c>
      <c r="I285" s="198">
        <f t="shared" si="140"/>
        <v>660</v>
      </c>
      <c r="J285" s="198">
        <f t="shared" si="140"/>
        <v>660</v>
      </c>
      <c r="K285" s="199">
        <f t="shared" si="94"/>
        <v>0</v>
      </c>
      <c r="L285" s="199">
        <f t="shared" si="95"/>
        <v>100</v>
      </c>
      <c r="M285" s="199">
        <f t="shared" si="96"/>
        <v>0</v>
      </c>
      <c r="N285" s="199">
        <f t="shared" si="97"/>
        <v>100</v>
      </c>
      <c r="O285" s="199"/>
      <c r="P285" s="199">
        <f t="shared" si="99"/>
        <v>100</v>
      </c>
      <c r="Q285" s="199">
        <f t="shared" si="100"/>
        <v>660</v>
      </c>
      <c r="R285" s="199"/>
      <c r="S285" s="199">
        <f t="shared" si="139"/>
        <v>0.48881425137013723</v>
      </c>
    </row>
    <row r="286" spans="1:19" s="204" customFormat="1" ht="29.25" customHeight="1" x14ac:dyDescent="0.3">
      <c r="A286" s="201" t="s">
        <v>399</v>
      </c>
      <c r="B286" s="127">
        <v>6</v>
      </c>
      <c r="C286" s="195">
        <v>5</v>
      </c>
      <c r="D286" s="197" t="s">
        <v>496</v>
      </c>
      <c r="E286" s="197">
        <v>200</v>
      </c>
      <c r="F286" s="197"/>
      <c r="G286" s="198">
        <f t="shared" si="140"/>
        <v>0</v>
      </c>
      <c r="H286" s="198">
        <f>H287</f>
        <v>660</v>
      </c>
      <c r="I286" s="198">
        <f t="shared" si="140"/>
        <v>660</v>
      </c>
      <c r="J286" s="198">
        <f t="shared" si="140"/>
        <v>660</v>
      </c>
      <c r="K286" s="199">
        <f t="shared" si="94"/>
        <v>0</v>
      </c>
      <c r="L286" s="199">
        <f t="shared" si="95"/>
        <v>100</v>
      </c>
      <c r="M286" s="199">
        <f t="shared" si="96"/>
        <v>0</v>
      </c>
      <c r="N286" s="199">
        <f t="shared" si="97"/>
        <v>100</v>
      </c>
      <c r="O286" s="199"/>
      <c r="P286" s="199">
        <f t="shared" si="99"/>
        <v>100</v>
      </c>
      <c r="Q286" s="199">
        <f t="shared" si="100"/>
        <v>660</v>
      </c>
      <c r="R286" s="199"/>
      <c r="S286" s="199">
        <f t="shared" si="139"/>
        <v>0.48881425137013723</v>
      </c>
    </row>
    <row r="287" spans="1:19" s="204" customFormat="1" ht="39.75" customHeight="1" x14ac:dyDescent="0.3">
      <c r="A287" s="201" t="s">
        <v>395</v>
      </c>
      <c r="B287" s="127">
        <v>6</v>
      </c>
      <c r="C287" s="195">
        <v>5</v>
      </c>
      <c r="D287" s="197" t="s">
        <v>496</v>
      </c>
      <c r="E287" s="197">
        <v>240</v>
      </c>
      <c r="F287" s="197"/>
      <c r="G287" s="198"/>
      <c r="H287" s="198">
        <f>'[4]приложение №3 (5) 2022г.'!G208</f>
        <v>660</v>
      </c>
      <c r="I287" s="198">
        <f>I288</f>
        <v>660</v>
      </c>
      <c r="J287" s="198">
        <f>J288</f>
        <v>660</v>
      </c>
      <c r="K287" s="199">
        <f t="shared" si="94"/>
        <v>0</v>
      </c>
      <c r="L287" s="199">
        <f t="shared" si="95"/>
        <v>100</v>
      </c>
      <c r="M287" s="199">
        <f t="shared" si="96"/>
        <v>0</v>
      </c>
      <c r="N287" s="199">
        <f t="shared" si="97"/>
        <v>100</v>
      </c>
      <c r="O287" s="199"/>
      <c r="P287" s="199">
        <f t="shared" si="99"/>
        <v>100</v>
      </c>
      <c r="Q287" s="199">
        <f t="shared" si="100"/>
        <v>660</v>
      </c>
      <c r="R287" s="199"/>
      <c r="S287" s="199">
        <f t="shared" si="139"/>
        <v>0.48881425137013723</v>
      </c>
    </row>
    <row r="288" spans="1:19" s="204" customFormat="1" ht="19.5" customHeight="1" x14ac:dyDescent="0.3">
      <c r="A288" s="201"/>
      <c r="B288" s="127">
        <v>6</v>
      </c>
      <c r="C288" s="195">
        <v>5</v>
      </c>
      <c r="D288" s="197" t="s">
        <v>496</v>
      </c>
      <c r="E288" s="197">
        <v>244</v>
      </c>
      <c r="F288" s="197">
        <v>310</v>
      </c>
      <c r="G288" s="198"/>
      <c r="H288" s="198"/>
      <c r="I288" s="198">
        <v>660</v>
      </c>
      <c r="J288" s="198">
        <v>660</v>
      </c>
      <c r="K288" s="199"/>
      <c r="L288" s="199"/>
      <c r="M288" s="199"/>
      <c r="N288" s="199"/>
      <c r="O288" s="199"/>
      <c r="P288" s="199"/>
      <c r="Q288" s="199"/>
      <c r="R288" s="199"/>
      <c r="S288" s="199"/>
    </row>
    <row r="289" spans="1:19" s="188" customFormat="1" ht="21.75" customHeight="1" x14ac:dyDescent="0.25">
      <c r="A289" s="181" t="s">
        <v>497</v>
      </c>
      <c r="B289" s="214" t="s">
        <v>332</v>
      </c>
      <c r="C289" s="211"/>
      <c r="D289" s="184"/>
      <c r="E289" s="185"/>
      <c r="F289" s="185"/>
      <c r="G289" s="186">
        <f t="shared" ref="G289:J289" si="141">G290+G310</f>
        <v>21127.200000000001</v>
      </c>
      <c r="H289" s="186">
        <f>H290+H310</f>
        <v>23894.255000000001</v>
      </c>
      <c r="I289" s="186">
        <f t="shared" si="141"/>
        <v>23894.255450000001</v>
      </c>
      <c r="J289" s="186">
        <f t="shared" si="141"/>
        <v>23894.254710000001</v>
      </c>
      <c r="K289" s="187">
        <f t="shared" si="94"/>
        <v>4.4999999954598024E-4</v>
      </c>
      <c r="L289" s="187">
        <f t="shared" si="95"/>
        <v>100.0000018832979</v>
      </c>
      <c r="M289" s="187">
        <f t="shared" si="96"/>
        <v>-7.3999999949592166E-4</v>
      </c>
      <c r="N289" s="187">
        <f t="shared" si="97"/>
        <v>99.999996903021298</v>
      </c>
      <c r="O289" s="187">
        <f t="shared" si="98"/>
        <v>113.09711987390662</v>
      </c>
      <c r="P289" s="187">
        <f t="shared" si="99"/>
        <v>99.999998786319139</v>
      </c>
      <c r="Q289" s="187">
        <f t="shared" si="100"/>
        <v>2767.0550000000003</v>
      </c>
      <c r="R289" s="187">
        <f t="shared" si="101"/>
        <v>113.09712124654475</v>
      </c>
      <c r="S289" s="187">
        <f t="shared" ref="S289:S295" si="142">J289/$J$355*100</f>
        <v>17.696745800175794</v>
      </c>
    </row>
    <row r="290" spans="1:19" s="188" customFormat="1" ht="18" customHeight="1" x14ac:dyDescent="0.25">
      <c r="A290" s="237" t="s">
        <v>498</v>
      </c>
      <c r="B290" s="221">
        <v>8</v>
      </c>
      <c r="C290" s="222">
        <v>1</v>
      </c>
      <c r="D290" s="238"/>
      <c r="E290" s="224"/>
      <c r="F290" s="224"/>
      <c r="G290" s="225">
        <f t="shared" ref="G290:J291" si="143">G291</f>
        <v>20810.2</v>
      </c>
      <c r="H290" s="225">
        <f t="shared" si="143"/>
        <v>23534.535</v>
      </c>
      <c r="I290" s="225">
        <f t="shared" si="143"/>
        <v>23534.535449999999</v>
      </c>
      <c r="J290" s="225">
        <f t="shared" si="143"/>
        <v>23534.53471</v>
      </c>
      <c r="K290" s="187">
        <f t="shared" si="94"/>
        <v>4.4999999954598024E-4</v>
      </c>
      <c r="L290" s="187">
        <f t="shared" si="95"/>
        <v>100.00000191208368</v>
      </c>
      <c r="M290" s="187">
        <f t="shared" si="96"/>
        <v>-7.3999999949592166E-4</v>
      </c>
      <c r="N290" s="187">
        <f t="shared" si="97"/>
        <v>99.999996855684699</v>
      </c>
      <c r="O290" s="187">
        <f t="shared" si="98"/>
        <v>113.09134323552871</v>
      </c>
      <c r="P290" s="187">
        <f t="shared" si="99"/>
        <v>99.999998767768304</v>
      </c>
      <c r="Q290" s="187">
        <f t="shared" si="100"/>
        <v>2724.3349999999991</v>
      </c>
      <c r="R290" s="187">
        <f t="shared" si="101"/>
        <v>113.09134462907613</v>
      </c>
      <c r="S290" s="187">
        <f t="shared" si="142"/>
        <v>17.430327220625998</v>
      </c>
    </row>
    <row r="291" spans="1:19" ht="21" customHeight="1" x14ac:dyDescent="0.2">
      <c r="A291" s="126" t="s">
        <v>499</v>
      </c>
      <c r="B291" s="127">
        <v>8</v>
      </c>
      <c r="C291" s="195">
        <v>1</v>
      </c>
      <c r="D291" s="197" t="s">
        <v>371</v>
      </c>
      <c r="E291" s="197"/>
      <c r="F291" s="197"/>
      <c r="G291" s="198">
        <f t="shared" si="143"/>
        <v>20810.2</v>
      </c>
      <c r="H291" s="198">
        <f t="shared" si="143"/>
        <v>23534.535</v>
      </c>
      <c r="I291" s="198">
        <f t="shared" si="143"/>
        <v>23534.535449999999</v>
      </c>
      <c r="J291" s="198">
        <f t="shared" si="143"/>
        <v>23534.53471</v>
      </c>
      <c r="K291" s="199">
        <f t="shared" si="94"/>
        <v>4.4999999954598024E-4</v>
      </c>
      <c r="L291" s="199">
        <f t="shared" si="95"/>
        <v>100.00000191208368</v>
      </c>
      <c r="M291" s="199">
        <f t="shared" si="96"/>
        <v>-7.3999999949592166E-4</v>
      </c>
      <c r="N291" s="199">
        <f t="shared" si="97"/>
        <v>99.999996855684699</v>
      </c>
      <c r="O291" s="199">
        <f t="shared" si="98"/>
        <v>113.09134323552871</v>
      </c>
      <c r="P291" s="199">
        <f t="shared" si="99"/>
        <v>99.999998767768304</v>
      </c>
      <c r="Q291" s="199">
        <f t="shared" si="100"/>
        <v>2724.3349999999991</v>
      </c>
      <c r="R291" s="199">
        <f t="shared" si="101"/>
        <v>113.09134462907613</v>
      </c>
      <c r="S291" s="199">
        <f t="shared" si="142"/>
        <v>17.430327220625998</v>
      </c>
    </row>
    <row r="292" spans="1:19" ht="19.5" customHeight="1" x14ac:dyDescent="0.2">
      <c r="A292" s="126" t="s">
        <v>500</v>
      </c>
      <c r="B292" s="127">
        <v>8</v>
      </c>
      <c r="C292" s="195">
        <v>1</v>
      </c>
      <c r="D292" s="197" t="s">
        <v>501</v>
      </c>
      <c r="E292" s="197"/>
      <c r="F292" s="197"/>
      <c r="G292" s="198">
        <f t="shared" ref="G292:J292" si="144">G293+G298+G302+G306</f>
        <v>20810.2</v>
      </c>
      <c r="H292" s="198">
        <f>H293+H298+H302+H306</f>
        <v>23534.535</v>
      </c>
      <c r="I292" s="198">
        <f t="shared" si="144"/>
        <v>23534.535449999999</v>
      </c>
      <c r="J292" s="198">
        <f t="shared" si="144"/>
        <v>23534.53471</v>
      </c>
      <c r="K292" s="199">
        <f t="shared" ref="K292:K355" si="145">I292-H292</f>
        <v>4.4999999954598024E-4</v>
      </c>
      <c r="L292" s="199">
        <f t="shared" ref="L292:L355" si="146">I292/H292*100</f>
        <v>100.00000191208368</v>
      </c>
      <c r="M292" s="199">
        <f t="shared" ref="M292:M355" si="147">J292-I292</f>
        <v>-7.3999999949592166E-4</v>
      </c>
      <c r="N292" s="199">
        <f t="shared" ref="N292:N355" si="148">J292/I292*100</f>
        <v>99.999996855684699</v>
      </c>
      <c r="O292" s="199">
        <f t="shared" ref="O292:O355" si="149">J292/G292*100</f>
        <v>113.09134323552871</v>
      </c>
      <c r="P292" s="199">
        <f t="shared" ref="P292:P355" si="150">J292/H292*100</f>
        <v>99.999998767768304</v>
      </c>
      <c r="Q292" s="199">
        <f t="shared" ref="Q292:Q355" si="151">H292-G292</f>
        <v>2724.3349999999991</v>
      </c>
      <c r="R292" s="199">
        <f t="shared" ref="R292:R355" si="152">H292/G292*100</f>
        <v>113.09134462907613</v>
      </c>
      <c r="S292" s="199">
        <f t="shared" si="142"/>
        <v>17.430327220625998</v>
      </c>
    </row>
    <row r="293" spans="1:19" ht="31.5" customHeight="1" x14ac:dyDescent="0.2">
      <c r="A293" s="126" t="s">
        <v>502</v>
      </c>
      <c r="B293" s="127">
        <v>8</v>
      </c>
      <c r="C293" s="195">
        <v>1</v>
      </c>
      <c r="D293" s="197" t="s">
        <v>503</v>
      </c>
      <c r="E293" s="197"/>
      <c r="F293" s="197"/>
      <c r="G293" s="198">
        <f t="shared" ref="G293:J294" si="153">G294</f>
        <v>20712.900000000001</v>
      </c>
      <c r="H293" s="198">
        <f t="shared" si="153"/>
        <v>23425.955000000002</v>
      </c>
      <c r="I293" s="198">
        <f t="shared" si="153"/>
        <v>23425.95505</v>
      </c>
      <c r="J293" s="198">
        <f t="shared" si="153"/>
        <v>23425.954310000001</v>
      </c>
      <c r="K293" s="199">
        <f t="shared" si="145"/>
        <v>4.9999998736893758E-5</v>
      </c>
      <c r="L293" s="199">
        <f t="shared" si="146"/>
        <v>100.00000021343847</v>
      </c>
      <c r="M293" s="199">
        <f t="shared" si="147"/>
        <v>-7.3999999949592166E-4</v>
      </c>
      <c r="N293" s="199">
        <f t="shared" si="148"/>
        <v>99.999996841110644</v>
      </c>
      <c r="O293" s="199">
        <f t="shared" si="149"/>
        <v>113.09837980195915</v>
      </c>
      <c r="P293" s="199">
        <f t="shared" si="150"/>
        <v>99.999997054549112</v>
      </c>
      <c r="Q293" s="199">
        <f t="shared" si="151"/>
        <v>2713.0550000000003</v>
      </c>
      <c r="R293" s="199">
        <f t="shared" si="152"/>
        <v>113.0983831332165</v>
      </c>
      <c r="S293" s="199">
        <f t="shared" si="142"/>
        <v>17.349909573748015</v>
      </c>
    </row>
    <row r="294" spans="1:19" ht="38.25" customHeight="1" x14ac:dyDescent="0.2">
      <c r="A294" s="201" t="s">
        <v>435</v>
      </c>
      <c r="B294" s="127">
        <v>8</v>
      </c>
      <c r="C294" s="195">
        <v>1</v>
      </c>
      <c r="D294" s="196" t="s">
        <v>503</v>
      </c>
      <c r="E294" s="197">
        <v>600</v>
      </c>
      <c r="F294" s="197"/>
      <c r="G294" s="198">
        <f t="shared" si="153"/>
        <v>20712.900000000001</v>
      </c>
      <c r="H294" s="198">
        <f t="shared" si="153"/>
        <v>23425.955000000002</v>
      </c>
      <c r="I294" s="198">
        <f t="shared" si="153"/>
        <v>23425.95505</v>
      </c>
      <c r="J294" s="198">
        <f t="shared" si="153"/>
        <v>23425.954310000001</v>
      </c>
      <c r="K294" s="199">
        <f t="shared" si="145"/>
        <v>4.9999998736893758E-5</v>
      </c>
      <c r="L294" s="199">
        <f t="shared" si="146"/>
        <v>100.00000021343847</v>
      </c>
      <c r="M294" s="199">
        <f t="shared" si="147"/>
        <v>-7.3999999949592166E-4</v>
      </c>
      <c r="N294" s="199">
        <f t="shared" si="148"/>
        <v>99.999996841110644</v>
      </c>
      <c r="O294" s="199">
        <f t="shared" si="149"/>
        <v>113.09837980195915</v>
      </c>
      <c r="P294" s="199">
        <f t="shared" si="150"/>
        <v>99.999997054549112</v>
      </c>
      <c r="Q294" s="199">
        <f t="shared" si="151"/>
        <v>2713.0550000000003</v>
      </c>
      <c r="R294" s="199">
        <f t="shared" si="152"/>
        <v>113.0983831332165</v>
      </c>
      <c r="S294" s="199">
        <f t="shared" si="142"/>
        <v>17.349909573748015</v>
      </c>
    </row>
    <row r="295" spans="1:19" ht="21" customHeight="1" x14ac:dyDescent="0.2">
      <c r="A295" s="201" t="s">
        <v>504</v>
      </c>
      <c r="B295" s="127">
        <v>8</v>
      </c>
      <c r="C295" s="195">
        <v>1</v>
      </c>
      <c r="D295" s="196" t="s">
        <v>503</v>
      </c>
      <c r="E295" s="197">
        <v>610</v>
      </c>
      <c r="F295" s="197"/>
      <c r="G295" s="198">
        <v>20712.900000000001</v>
      </c>
      <c r="H295" s="198">
        <f>'[4]приложение №3 (5) 2022г.'!G215</f>
        <v>23425.955000000002</v>
      </c>
      <c r="I295" s="198">
        <f>I296+I297</f>
        <v>23425.95505</v>
      </c>
      <c r="J295" s="198">
        <f>J296+J297</f>
        <v>23425.954310000001</v>
      </c>
      <c r="K295" s="199">
        <f t="shared" si="145"/>
        <v>4.9999998736893758E-5</v>
      </c>
      <c r="L295" s="199">
        <f t="shared" si="146"/>
        <v>100.00000021343847</v>
      </c>
      <c r="M295" s="199">
        <f t="shared" si="147"/>
        <v>-7.3999999949592166E-4</v>
      </c>
      <c r="N295" s="199">
        <f t="shared" si="148"/>
        <v>99.999996841110644</v>
      </c>
      <c r="O295" s="199">
        <f t="shared" si="149"/>
        <v>113.09837980195915</v>
      </c>
      <c r="P295" s="199">
        <f t="shared" si="150"/>
        <v>99.999997054549112</v>
      </c>
      <c r="Q295" s="199">
        <f t="shared" si="151"/>
        <v>2713.0550000000003</v>
      </c>
      <c r="R295" s="199">
        <f t="shared" si="152"/>
        <v>113.0983831332165</v>
      </c>
      <c r="S295" s="199">
        <f t="shared" si="142"/>
        <v>17.349909573748015</v>
      </c>
    </row>
    <row r="296" spans="1:19" ht="18.75" customHeight="1" x14ac:dyDescent="0.2">
      <c r="A296" s="201"/>
      <c r="B296" s="127">
        <v>8</v>
      </c>
      <c r="C296" s="195">
        <v>1</v>
      </c>
      <c r="D296" s="196" t="s">
        <v>503</v>
      </c>
      <c r="E296" s="197">
        <v>611</v>
      </c>
      <c r="F296" s="197">
        <v>241</v>
      </c>
      <c r="G296" s="198"/>
      <c r="H296" s="198"/>
      <c r="I296" s="198">
        <v>22406.297310000002</v>
      </c>
      <c r="J296" s="198">
        <v>22406.297310000002</v>
      </c>
      <c r="K296" s="199"/>
      <c r="L296" s="199"/>
      <c r="M296" s="199"/>
      <c r="N296" s="199"/>
      <c r="O296" s="199"/>
      <c r="P296" s="199"/>
      <c r="Q296" s="199"/>
      <c r="R296" s="199"/>
      <c r="S296" s="199"/>
    </row>
    <row r="297" spans="1:19" ht="21.75" customHeight="1" x14ac:dyDescent="0.2">
      <c r="A297" s="201"/>
      <c r="B297" s="127">
        <v>8</v>
      </c>
      <c r="C297" s="195">
        <v>1</v>
      </c>
      <c r="D297" s="196" t="s">
        <v>503</v>
      </c>
      <c r="E297" s="197">
        <v>612</v>
      </c>
      <c r="F297" s="197">
        <v>241</v>
      </c>
      <c r="G297" s="198"/>
      <c r="H297" s="198"/>
      <c r="I297" s="198">
        <v>1019.65774</v>
      </c>
      <c r="J297" s="198">
        <v>1019.657</v>
      </c>
      <c r="K297" s="199"/>
      <c r="L297" s="199"/>
      <c r="M297" s="199"/>
      <c r="N297" s="199"/>
      <c r="O297" s="199"/>
      <c r="P297" s="199"/>
      <c r="Q297" s="199"/>
      <c r="R297" s="199"/>
      <c r="S297" s="199"/>
    </row>
    <row r="298" spans="1:19" s="215" customFormat="1" ht="18.75" customHeight="1" x14ac:dyDescent="0.2">
      <c r="A298" s="126" t="s">
        <v>505</v>
      </c>
      <c r="B298" s="127">
        <v>8</v>
      </c>
      <c r="C298" s="195">
        <v>1</v>
      </c>
      <c r="D298" s="197" t="s">
        <v>506</v>
      </c>
      <c r="E298" s="197"/>
      <c r="F298" s="197"/>
      <c r="G298" s="198">
        <f t="shared" ref="G298:J299" si="154">G299</f>
        <v>82</v>
      </c>
      <c r="H298" s="198">
        <f t="shared" si="154"/>
        <v>93.284999999999997</v>
      </c>
      <c r="I298" s="198">
        <f t="shared" si="154"/>
        <v>93.285399999999996</v>
      </c>
      <c r="J298" s="198">
        <f t="shared" si="154"/>
        <v>93.285399999999996</v>
      </c>
      <c r="K298" s="199">
        <f t="shared" si="145"/>
        <v>3.9999999999906777E-4</v>
      </c>
      <c r="L298" s="199">
        <f t="shared" si="146"/>
        <v>100.00042879348234</v>
      </c>
      <c r="M298" s="199">
        <f t="shared" si="147"/>
        <v>0</v>
      </c>
      <c r="N298" s="199">
        <f t="shared" si="148"/>
        <v>100</v>
      </c>
      <c r="O298" s="199">
        <f t="shared" si="149"/>
        <v>113.76268292682927</v>
      </c>
      <c r="P298" s="199">
        <f t="shared" si="150"/>
        <v>100.00042879348234</v>
      </c>
      <c r="Q298" s="199">
        <f t="shared" si="151"/>
        <v>11.284999999999997</v>
      </c>
      <c r="R298" s="199">
        <f t="shared" si="152"/>
        <v>113.76219512195122</v>
      </c>
      <c r="S298" s="199">
        <f>J298/$J$355*100</f>
        <v>6.9089746916308786E-2</v>
      </c>
    </row>
    <row r="299" spans="1:19" ht="36" customHeight="1" x14ac:dyDescent="0.2">
      <c r="A299" s="201" t="s">
        <v>435</v>
      </c>
      <c r="B299" s="127">
        <v>8</v>
      </c>
      <c r="C299" s="195">
        <v>1</v>
      </c>
      <c r="D299" s="196" t="s">
        <v>506</v>
      </c>
      <c r="E299" s="197">
        <v>600</v>
      </c>
      <c r="F299" s="197"/>
      <c r="G299" s="198">
        <f t="shared" si="154"/>
        <v>82</v>
      </c>
      <c r="H299" s="198">
        <f t="shared" si="154"/>
        <v>93.284999999999997</v>
      </c>
      <c r="I299" s="198">
        <f t="shared" si="154"/>
        <v>93.285399999999996</v>
      </c>
      <c r="J299" s="198">
        <f t="shared" si="154"/>
        <v>93.285399999999996</v>
      </c>
      <c r="K299" s="199">
        <f t="shared" si="145"/>
        <v>3.9999999999906777E-4</v>
      </c>
      <c r="L299" s="199">
        <f t="shared" si="146"/>
        <v>100.00042879348234</v>
      </c>
      <c r="M299" s="199">
        <f t="shared" si="147"/>
        <v>0</v>
      </c>
      <c r="N299" s="199">
        <f t="shared" si="148"/>
        <v>100</v>
      </c>
      <c r="O299" s="199">
        <f t="shared" si="149"/>
        <v>113.76268292682927</v>
      </c>
      <c r="P299" s="199">
        <f t="shared" si="150"/>
        <v>100.00042879348234</v>
      </c>
      <c r="Q299" s="199">
        <f t="shared" si="151"/>
        <v>11.284999999999997</v>
      </c>
      <c r="R299" s="199">
        <f t="shared" si="152"/>
        <v>113.76219512195122</v>
      </c>
      <c r="S299" s="199">
        <f>J299/$J$355*100</f>
        <v>6.9089746916308786E-2</v>
      </c>
    </row>
    <row r="300" spans="1:19" ht="21" customHeight="1" x14ac:dyDescent="0.2">
      <c r="A300" s="201" t="s">
        <v>504</v>
      </c>
      <c r="B300" s="127">
        <v>8</v>
      </c>
      <c r="C300" s="195">
        <v>1</v>
      </c>
      <c r="D300" s="196" t="s">
        <v>506</v>
      </c>
      <c r="E300" s="197">
        <v>610</v>
      </c>
      <c r="F300" s="197"/>
      <c r="G300" s="198">
        <v>82</v>
      </c>
      <c r="H300" s="198">
        <f>'[4]приложение №3 (5) 2022г.'!G218</f>
        <v>93.284999999999997</v>
      </c>
      <c r="I300" s="198">
        <f>I301</f>
        <v>93.285399999999996</v>
      </c>
      <c r="J300" s="198">
        <f>J301</f>
        <v>93.285399999999996</v>
      </c>
      <c r="K300" s="199">
        <f t="shared" si="145"/>
        <v>3.9999999999906777E-4</v>
      </c>
      <c r="L300" s="199">
        <f t="shared" si="146"/>
        <v>100.00042879348234</v>
      </c>
      <c r="M300" s="199">
        <f t="shared" si="147"/>
        <v>0</v>
      </c>
      <c r="N300" s="199">
        <f t="shared" si="148"/>
        <v>100</v>
      </c>
      <c r="O300" s="199">
        <f t="shared" si="149"/>
        <v>113.76268292682927</v>
      </c>
      <c r="P300" s="199">
        <f t="shared" si="150"/>
        <v>100.00042879348234</v>
      </c>
      <c r="Q300" s="199">
        <f t="shared" si="151"/>
        <v>11.284999999999997</v>
      </c>
      <c r="R300" s="199">
        <f t="shared" si="152"/>
        <v>113.76219512195122</v>
      </c>
      <c r="S300" s="199">
        <f>J300/$J$355*100</f>
        <v>6.9089746916308786E-2</v>
      </c>
    </row>
    <row r="301" spans="1:19" ht="21" customHeight="1" x14ac:dyDescent="0.2">
      <c r="A301" s="201"/>
      <c r="B301" s="127">
        <v>8</v>
      </c>
      <c r="C301" s="195">
        <v>1</v>
      </c>
      <c r="D301" s="196" t="s">
        <v>506</v>
      </c>
      <c r="E301" s="197">
        <v>611</v>
      </c>
      <c r="F301" s="197">
        <v>241</v>
      </c>
      <c r="G301" s="198"/>
      <c r="H301" s="198"/>
      <c r="I301" s="198">
        <v>93.285399999999996</v>
      </c>
      <c r="J301" s="198">
        <v>93.285399999999996</v>
      </c>
      <c r="K301" s="199"/>
      <c r="L301" s="199"/>
      <c r="M301" s="199"/>
      <c r="N301" s="199"/>
      <c r="O301" s="199"/>
      <c r="P301" s="199"/>
      <c r="Q301" s="199"/>
      <c r="R301" s="199"/>
      <c r="S301" s="199"/>
    </row>
    <row r="302" spans="1:19" ht="37.5" customHeight="1" x14ac:dyDescent="0.2">
      <c r="A302" s="239" t="s">
        <v>507</v>
      </c>
      <c r="B302" s="127">
        <v>8</v>
      </c>
      <c r="C302" s="195">
        <v>1</v>
      </c>
      <c r="D302" s="197" t="s">
        <v>508</v>
      </c>
      <c r="E302" s="197"/>
      <c r="F302" s="197"/>
      <c r="G302" s="198">
        <f t="shared" ref="G302:J303" si="155">G303</f>
        <v>13</v>
      </c>
      <c r="H302" s="198">
        <f t="shared" si="155"/>
        <v>13</v>
      </c>
      <c r="I302" s="198">
        <f t="shared" si="155"/>
        <v>13</v>
      </c>
      <c r="J302" s="198">
        <f t="shared" si="155"/>
        <v>13</v>
      </c>
      <c r="K302" s="199">
        <f t="shared" si="145"/>
        <v>0</v>
      </c>
      <c r="L302" s="199">
        <f t="shared" si="146"/>
        <v>100</v>
      </c>
      <c r="M302" s="199">
        <f t="shared" si="147"/>
        <v>0</v>
      </c>
      <c r="N302" s="199">
        <f t="shared" si="148"/>
        <v>100</v>
      </c>
      <c r="O302" s="199">
        <f t="shared" si="149"/>
        <v>100</v>
      </c>
      <c r="P302" s="199">
        <f t="shared" si="150"/>
        <v>100</v>
      </c>
      <c r="Q302" s="199">
        <f t="shared" si="151"/>
        <v>0</v>
      </c>
      <c r="R302" s="199">
        <f t="shared" si="152"/>
        <v>100</v>
      </c>
      <c r="S302" s="199">
        <f>J302/$J$355*100</f>
        <v>9.6281594966845206E-3</v>
      </c>
    </row>
    <row r="303" spans="1:19" ht="37.5" customHeight="1" x14ac:dyDescent="0.2">
      <c r="A303" s="201" t="s">
        <v>435</v>
      </c>
      <c r="B303" s="127">
        <v>8</v>
      </c>
      <c r="C303" s="195">
        <v>1</v>
      </c>
      <c r="D303" s="197" t="s">
        <v>508</v>
      </c>
      <c r="E303" s="197">
        <v>600</v>
      </c>
      <c r="F303" s="197"/>
      <c r="G303" s="198">
        <f t="shared" si="155"/>
        <v>13</v>
      </c>
      <c r="H303" s="198">
        <f t="shared" si="155"/>
        <v>13</v>
      </c>
      <c r="I303" s="198">
        <f t="shared" si="155"/>
        <v>13</v>
      </c>
      <c r="J303" s="198">
        <f t="shared" si="155"/>
        <v>13</v>
      </c>
      <c r="K303" s="199">
        <f t="shared" si="145"/>
        <v>0</v>
      </c>
      <c r="L303" s="199">
        <f t="shared" si="146"/>
        <v>100</v>
      </c>
      <c r="M303" s="199">
        <f t="shared" si="147"/>
        <v>0</v>
      </c>
      <c r="N303" s="199">
        <f t="shared" si="148"/>
        <v>100</v>
      </c>
      <c r="O303" s="199">
        <f t="shared" si="149"/>
        <v>100</v>
      </c>
      <c r="P303" s="199">
        <f t="shared" si="150"/>
        <v>100</v>
      </c>
      <c r="Q303" s="199">
        <f t="shared" si="151"/>
        <v>0</v>
      </c>
      <c r="R303" s="199">
        <f t="shared" si="152"/>
        <v>100</v>
      </c>
      <c r="S303" s="199">
        <f>J303/$J$355*100</f>
        <v>9.6281594966845206E-3</v>
      </c>
    </row>
    <row r="304" spans="1:19" ht="18" customHeight="1" x14ac:dyDescent="0.2">
      <c r="A304" s="201" t="s">
        <v>504</v>
      </c>
      <c r="B304" s="127">
        <v>8</v>
      </c>
      <c r="C304" s="195">
        <v>1</v>
      </c>
      <c r="D304" s="197" t="s">
        <v>508</v>
      </c>
      <c r="E304" s="197">
        <v>610</v>
      </c>
      <c r="F304" s="197"/>
      <c r="G304" s="198">
        <v>13</v>
      </c>
      <c r="H304" s="198">
        <f>'[4]приложение №3 (5) 2022г.'!G221</f>
        <v>13</v>
      </c>
      <c r="I304" s="198">
        <f>I305</f>
        <v>13</v>
      </c>
      <c r="J304" s="198">
        <f>J305</f>
        <v>13</v>
      </c>
      <c r="K304" s="199">
        <f t="shared" si="145"/>
        <v>0</v>
      </c>
      <c r="L304" s="199">
        <f t="shared" si="146"/>
        <v>100</v>
      </c>
      <c r="M304" s="199">
        <f t="shared" si="147"/>
        <v>0</v>
      </c>
      <c r="N304" s="199">
        <f t="shared" si="148"/>
        <v>100</v>
      </c>
      <c r="O304" s="199">
        <f t="shared" si="149"/>
        <v>100</v>
      </c>
      <c r="P304" s="199">
        <f t="shared" si="150"/>
        <v>100</v>
      </c>
      <c r="Q304" s="199">
        <f t="shared" si="151"/>
        <v>0</v>
      </c>
      <c r="R304" s="199">
        <f t="shared" si="152"/>
        <v>100</v>
      </c>
      <c r="S304" s="199">
        <f>J304/$J$355*100</f>
        <v>9.6281594966845206E-3</v>
      </c>
    </row>
    <row r="305" spans="1:19" ht="16.5" customHeight="1" x14ac:dyDescent="0.2">
      <c r="A305" s="201"/>
      <c r="B305" s="127">
        <v>8</v>
      </c>
      <c r="C305" s="195">
        <v>1</v>
      </c>
      <c r="D305" s="197" t="s">
        <v>508</v>
      </c>
      <c r="E305" s="197">
        <v>611</v>
      </c>
      <c r="F305" s="197">
        <v>241</v>
      </c>
      <c r="G305" s="198"/>
      <c r="H305" s="198"/>
      <c r="I305" s="198">
        <v>13</v>
      </c>
      <c r="J305" s="198">
        <v>13</v>
      </c>
      <c r="K305" s="199"/>
      <c r="L305" s="199"/>
      <c r="M305" s="199"/>
      <c r="N305" s="199"/>
      <c r="O305" s="199"/>
      <c r="P305" s="199"/>
      <c r="Q305" s="199"/>
      <c r="R305" s="199"/>
      <c r="S305" s="199"/>
    </row>
    <row r="306" spans="1:19" ht="39" customHeight="1" x14ac:dyDescent="0.2">
      <c r="A306" s="239" t="s">
        <v>509</v>
      </c>
      <c r="B306" s="127">
        <v>8</v>
      </c>
      <c r="C306" s="195">
        <v>1</v>
      </c>
      <c r="D306" s="197" t="s">
        <v>510</v>
      </c>
      <c r="E306" s="197"/>
      <c r="F306" s="197"/>
      <c r="G306" s="198">
        <f t="shared" ref="G306:J307" si="156">G307</f>
        <v>2.2999999999999998</v>
      </c>
      <c r="H306" s="198">
        <f t="shared" si="156"/>
        <v>2.2949999999999999</v>
      </c>
      <c r="I306" s="198">
        <f t="shared" si="156"/>
        <v>2.2949999999999999</v>
      </c>
      <c r="J306" s="198">
        <f t="shared" si="156"/>
        <v>2.2949999999999999</v>
      </c>
      <c r="K306" s="199">
        <f t="shared" si="145"/>
        <v>0</v>
      </c>
      <c r="L306" s="199">
        <f t="shared" si="146"/>
        <v>100</v>
      </c>
      <c r="M306" s="199">
        <f t="shared" si="147"/>
        <v>0</v>
      </c>
      <c r="N306" s="199">
        <f t="shared" si="148"/>
        <v>100</v>
      </c>
      <c r="O306" s="199">
        <f t="shared" si="149"/>
        <v>99.782608695652172</v>
      </c>
      <c r="P306" s="199">
        <f t="shared" si="150"/>
        <v>100</v>
      </c>
      <c r="Q306" s="199">
        <f t="shared" si="151"/>
        <v>-4.9999999999998934E-3</v>
      </c>
      <c r="R306" s="199">
        <f t="shared" si="152"/>
        <v>99.782608695652172</v>
      </c>
      <c r="S306" s="199">
        <f>J306/$J$355*100</f>
        <v>1.6997404649916135E-3</v>
      </c>
    </row>
    <row r="307" spans="1:19" ht="38.25" customHeight="1" x14ac:dyDescent="0.2">
      <c r="A307" s="201" t="s">
        <v>435</v>
      </c>
      <c r="B307" s="127">
        <v>8</v>
      </c>
      <c r="C307" s="195">
        <v>1</v>
      </c>
      <c r="D307" s="197" t="s">
        <v>510</v>
      </c>
      <c r="E307" s="197">
        <v>600</v>
      </c>
      <c r="F307" s="197"/>
      <c r="G307" s="198">
        <f t="shared" si="156"/>
        <v>2.2999999999999998</v>
      </c>
      <c r="H307" s="198">
        <f t="shared" si="156"/>
        <v>2.2949999999999999</v>
      </c>
      <c r="I307" s="198">
        <f t="shared" si="156"/>
        <v>2.2949999999999999</v>
      </c>
      <c r="J307" s="198">
        <f t="shared" si="156"/>
        <v>2.2949999999999999</v>
      </c>
      <c r="K307" s="199">
        <f t="shared" si="145"/>
        <v>0</v>
      </c>
      <c r="L307" s="199">
        <f t="shared" si="146"/>
        <v>100</v>
      </c>
      <c r="M307" s="199">
        <f t="shared" si="147"/>
        <v>0</v>
      </c>
      <c r="N307" s="199">
        <f t="shared" si="148"/>
        <v>100</v>
      </c>
      <c r="O307" s="199">
        <f t="shared" si="149"/>
        <v>99.782608695652172</v>
      </c>
      <c r="P307" s="199">
        <f t="shared" si="150"/>
        <v>100</v>
      </c>
      <c r="Q307" s="199">
        <f t="shared" si="151"/>
        <v>-4.9999999999998934E-3</v>
      </c>
      <c r="R307" s="199">
        <f t="shared" si="152"/>
        <v>99.782608695652172</v>
      </c>
      <c r="S307" s="199">
        <f>J307/$J$355*100</f>
        <v>1.6997404649916135E-3</v>
      </c>
    </row>
    <row r="308" spans="1:19" ht="17.25" customHeight="1" x14ac:dyDescent="0.2">
      <c r="A308" s="201" t="s">
        <v>504</v>
      </c>
      <c r="B308" s="127">
        <v>8</v>
      </c>
      <c r="C308" s="195">
        <v>1</v>
      </c>
      <c r="D308" s="197" t="s">
        <v>510</v>
      </c>
      <c r="E308" s="197">
        <v>610</v>
      </c>
      <c r="F308" s="197"/>
      <c r="G308" s="198">
        <v>2.2999999999999998</v>
      </c>
      <c r="H308" s="198">
        <f>'[4]приложение №3 (5) 2022г.'!G224</f>
        <v>2.2949999999999999</v>
      </c>
      <c r="I308" s="198">
        <f>I309</f>
        <v>2.2949999999999999</v>
      </c>
      <c r="J308" s="198">
        <f>J309</f>
        <v>2.2949999999999999</v>
      </c>
      <c r="K308" s="199">
        <f t="shared" si="145"/>
        <v>0</v>
      </c>
      <c r="L308" s="199">
        <f t="shared" si="146"/>
        <v>100</v>
      </c>
      <c r="M308" s="199">
        <f t="shared" si="147"/>
        <v>0</v>
      </c>
      <c r="N308" s="199">
        <f t="shared" si="148"/>
        <v>100</v>
      </c>
      <c r="O308" s="199">
        <f t="shared" si="149"/>
        <v>99.782608695652172</v>
      </c>
      <c r="P308" s="199">
        <f t="shared" si="150"/>
        <v>100</v>
      </c>
      <c r="Q308" s="199">
        <f t="shared" si="151"/>
        <v>-4.9999999999998934E-3</v>
      </c>
      <c r="R308" s="199">
        <f t="shared" si="152"/>
        <v>99.782608695652172</v>
      </c>
      <c r="S308" s="199">
        <f>J308/$J$355*100</f>
        <v>1.6997404649916135E-3</v>
      </c>
    </row>
    <row r="309" spans="1:19" ht="19.5" customHeight="1" x14ac:dyDescent="0.2">
      <c r="A309" s="201"/>
      <c r="B309" s="127">
        <v>8</v>
      </c>
      <c r="C309" s="195">
        <v>1</v>
      </c>
      <c r="D309" s="197" t="s">
        <v>510</v>
      </c>
      <c r="E309" s="197">
        <v>611</v>
      </c>
      <c r="F309" s="197">
        <v>241</v>
      </c>
      <c r="G309" s="198"/>
      <c r="H309" s="198"/>
      <c r="I309" s="198">
        <v>2.2949999999999999</v>
      </c>
      <c r="J309" s="198">
        <v>2.2949999999999999</v>
      </c>
      <c r="K309" s="199"/>
      <c r="L309" s="199"/>
      <c r="M309" s="199"/>
      <c r="N309" s="199"/>
      <c r="O309" s="199"/>
      <c r="P309" s="199"/>
      <c r="Q309" s="199"/>
      <c r="R309" s="199"/>
      <c r="S309" s="199"/>
    </row>
    <row r="310" spans="1:19" s="188" customFormat="1" ht="27.75" customHeight="1" x14ac:dyDescent="0.25">
      <c r="A310" s="237" t="s">
        <v>511</v>
      </c>
      <c r="B310" s="221">
        <v>8</v>
      </c>
      <c r="C310" s="222">
        <v>4</v>
      </c>
      <c r="D310" s="238"/>
      <c r="E310" s="224"/>
      <c r="F310" s="224"/>
      <c r="G310" s="225">
        <f t="shared" ref="G310:J311" si="157">G311</f>
        <v>317</v>
      </c>
      <c r="H310" s="225">
        <f>H311</f>
        <v>359.72</v>
      </c>
      <c r="I310" s="225">
        <f t="shared" si="157"/>
        <v>359.72</v>
      </c>
      <c r="J310" s="225">
        <f t="shared" si="157"/>
        <v>359.72</v>
      </c>
      <c r="K310" s="187">
        <f t="shared" si="145"/>
        <v>0</v>
      </c>
      <c r="L310" s="187">
        <f t="shared" si="146"/>
        <v>100</v>
      </c>
      <c r="M310" s="187">
        <f t="shared" si="147"/>
        <v>0</v>
      </c>
      <c r="N310" s="187">
        <f t="shared" si="148"/>
        <v>100</v>
      </c>
      <c r="O310" s="187">
        <f t="shared" si="149"/>
        <v>113.47634069400631</v>
      </c>
      <c r="P310" s="187">
        <f t="shared" si="150"/>
        <v>100</v>
      </c>
      <c r="Q310" s="187">
        <f t="shared" si="151"/>
        <v>42.720000000000027</v>
      </c>
      <c r="R310" s="187">
        <f t="shared" si="152"/>
        <v>113.47634069400631</v>
      </c>
      <c r="S310" s="187">
        <f t="shared" ref="S310:S315" si="158">J310/$J$355*100</f>
        <v>0.26641857954979659</v>
      </c>
    </row>
    <row r="311" spans="1:19" ht="22.5" customHeight="1" x14ac:dyDescent="0.2">
      <c r="A311" s="126" t="s">
        <v>499</v>
      </c>
      <c r="B311" s="127">
        <v>8</v>
      </c>
      <c r="C311" s="195">
        <v>4</v>
      </c>
      <c r="D311" s="197" t="s">
        <v>371</v>
      </c>
      <c r="E311" s="197"/>
      <c r="F311" s="197"/>
      <c r="G311" s="198">
        <f t="shared" si="157"/>
        <v>317</v>
      </c>
      <c r="H311" s="198">
        <f>H312</f>
        <v>359.72</v>
      </c>
      <c r="I311" s="198">
        <f t="shared" si="157"/>
        <v>359.72</v>
      </c>
      <c r="J311" s="198">
        <f t="shared" si="157"/>
        <v>359.72</v>
      </c>
      <c r="K311" s="199">
        <f t="shared" si="145"/>
        <v>0</v>
      </c>
      <c r="L311" s="199">
        <f t="shared" si="146"/>
        <v>100</v>
      </c>
      <c r="M311" s="199">
        <f t="shared" si="147"/>
        <v>0</v>
      </c>
      <c r="N311" s="199">
        <f t="shared" si="148"/>
        <v>100</v>
      </c>
      <c r="O311" s="199">
        <f t="shared" si="149"/>
        <v>113.47634069400631</v>
      </c>
      <c r="P311" s="199">
        <f t="shared" si="150"/>
        <v>100</v>
      </c>
      <c r="Q311" s="199">
        <f t="shared" si="151"/>
        <v>42.720000000000027</v>
      </c>
      <c r="R311" s="199">
        <f t="shared" si="152"/>
        <v>113.47634069400631</v>
      </c>
      <c r="S311" s="199">
        <f t="shared" si="158"/>
        <v>0.26641857954979659</v>
      </c>
    </row>
    <row r="312" spans="1:19" ht="18.75" customHeight="1" x14ac:dyDescent="0.2">
      <c r="A312" s="126" t="s">
        <v>500</v>
      </c>
      <c r="B312" s="127">
        <v>8</v>
      </c>
      <c r="C312" s="195">
        <v>4</v>
      </c>
      <c r="D312" s="197" t="s">
        <v>501</v>
      </c>
      <c r="E312" s="197"/>
      <c r="F312" s="197"/>
      <c r="G312" s="198">
        <f>G313+G317+G321</f>
        <v>317</v>
      </c>
      <c r="H312" s="198">
        <f>H313+H317+H321</f>
        <v>359.72</v>
      </c>
      <c r="I312" s="198">
        <f>I313+I317+I321</f>
        <v>359.72</v>
      </c>
      <c r="J312" s="198">
        <f>J313+J317+J321</f>
        <v>359.72</v>
      </c>
      <c r="K312" s="199">
        <f t="shared" si="145"/>
        <v>0</v>
      </c>
      <c r="L312" s="199">
        <f t="shared" si="146"/>
        <v>100</v>
      </c>
      <c r="M312" s="199">
        <f t="shared" si="147"/>
        <v>0</v>
      </c>
      <c r="N312" s="199">
        <f t="shared" si="148"/>
        <v>100</v>
      </c>
      <c r="O312" s="199">
        <f t="shared" si="149"/>
        <v>113.47634069400631</v>
      </c>
      <c r="P312" s="199">
        <f t="shared" si="150"/>
        <v>100</v>
      </c>
      <c r="Q312" s="199">
        <f t="shared" si="151"/>
        <v>42.720000000000027</v>
      </c>
      <c r="R312" s="199">
        <f t="shared" si="152"/>
        <v>113.47634069400631</v>
      </c>
      <c r="S312" s="199">
        <f t="shared" si="158"/>
        <v>0.26641857954979659</v>
      </c>
    </row>
    <row r="313" spans="1:19" s="215" customFormat="1" ht="36.75" customHeight="1" x14ac:dyDescent="0.2">
      <c r="A313" s="126" t="s">
        <v>512</v>
      </c>
      <c r="B313" s="127">
        <v>8</v>
      </c>
      <c r="C313" s="195">
        <v>4</v>
      </c>
      <c r="D313" s="197" t="s">
        <v>513</v>
      </c>
      <c r="E313" s="197"/>
      <c r="F313" s="197"/>
      <c r="G313" s="198">
        <f t="shared" ref="G313:J314" si="159">G314</f>
        <v>317</v>
      </c>
      <c r="H313" s="198">
        <f>H314</f>
        <v>317</v>
      </c>
      <c r="I313" s="198">
        <f t="shared" si="159"/>
        <v>317</v>
      </c>
      <c r="J313" s="198">
        <f t="shared" si="159"/>
        <v>317</v>
      </c>
      <c r="K313" s="199">
        <f t="shared" si="145"/>
        <v>0</v>
      </c>
      <c r="L313" s="199">
        <f t="shared" si="146"/>
        <v>100</v>
      </c>
      <c r="M313" s="199">
        <f t="shared" si="147"/>
        <v>0</v>
      </c>
      <c r="N313" s="199">
        <f t="shared" si="148"/>
        <v>100</v>
      </c>
      <c r="O313" s="199">
        <f t="shared" si="149"/>
        <v>100</v>
      </c>
      <c r="P313" s="199">
        <f t="shared" si="150"/>
        <v>100</v>
      </c>
      <c r="Q313" s="199">
        <f t="shared" si="151"/>
        <v>0</v>
      </c>
      <c r="R313" s="199">
        <f t="shared" si="152"/>
        <v>100</v>
      </c>
      <c r="S313" s="199">
        <f t="shared" si="158"/>
        <v>0.23477896618838406</v>
      </c>
    </row>
    <row r="314" spans="1:19" ht="39.75" customHeight="1" x14ac:dyDescent="0.2">
      <c r="A314" s="201" t="s">
        <v>435</v>
      </c>
      <c r="B314" s="127">
        <v>8</v>
      </c>
      <c r="C314" s="195">
        <v>4</v>
      </c>
      <c r="D314" s="196" t="s">
        <v>513</v>
      </c>
      <c r="E314" s="197">
        <v>600</v>
      </c>
      <c r="F314" s="197"/>
      <c r="G314" s="198">
        <f t="shared" si="159"/>
        <v>317</v>
      </c>
      <c r="H314" s="198">
        <f>H315</f>
        <v>317</v>
      </c>
      <c r="I314" s="198">
        <f t="shared" si="159"/>
        <v>317</v>
      </c>
      <c r="J314" s="198">
        <f t="shared" si="159"/>
        <v>317</v>
      </c>
      <c r="K314" s="199">
        <f t="shared" si="145"/>
        <v>0</v>
      </c>
      <c r="L314" s="199">
        <f t="shared" si="146"/>
        <v>100</v>
      </c>
      <c r="M314" s="199">
        <f t="shared" si="147"/>
        <v>0</v>
      </c>
      <c r="N314" s="199">
        <f t="shared" si="148"/>
        <v>100</v>
      </c>
      <c r="O314" s="199">
        <f t="shared" si="149"/>
        <v>100</v>
      </c>
      <c r="P314" s="199">
        <f t="shared" si="150"/>
        <v>100</v>
      </c>
      <c r="Q314" s="199">
        <f t="shared" si="151"/>
        <v>0</v>
      </c>
      <c r="R314" s="199">
        <f t="shared" si="152"/>
        <v>100</v>
      </c>
      <c r="S314" s="199">
        <f t="shared" si="158"/>
        <v>0.23477896618838406</v>
      </c>
    </row>
    <row r="315" spans="1:19" ht="59.25" customHeight="1" x14ac:dyDescent="0.2">
      <c r="A315" s="201" t="s">
        <v>514</v>
      </c>
      <c r="B315" s="127">
        <v>8</v>
      </c>
      <c r="C315" s="195">
        <v>4</v>
      </c>
      <c r="D315" s="196" t="s">
        <v>513</v>
      </c>
      <c r="E315" s="197">
        <v>630</v>
      </c>
      <c r="F315" s="197"/>
      <c r="G315" s="198">
        <v>317</v>
      </c>
      <c r="H315" s="198">
        <f>'[4]приложение №3 (5) 2022г.'!G230</f>
        <v>317</v>
      </c>
      <c r="I315" s="198">
        <f>I316</f>
        <v>317</v>
      </c>
      <c r="J315" s="198">
        <f>J316</f>
        <v>317</v>
      </c>
      <c r="K315" s="199">
        <f t="shared" si="145"/>
        <v>0</v>
      </c>
      <c r="L315" s="199">
        <f t="shared" si="146"/>
        <v>100</v>
      </c>
      <c r="M315" s="199">
        <f t="shared" si="147"/>
        <v>0</v>
      </c>
      <c r="N315" s="199">
        <f t="shared" si="148"/>
        <v>100</v>
      </c>
      <c r="O315" s="199">
        <f t="shared" si="149"/>
        <v>100</v>
      </c>
      <c r="P315" s="199">
        <f t="shared" si="150"/>
        <v>100</v>
      </c>
      <c r="Q315" s="199">
        <f t="shared" si="151"/>
        <v>0</v>
      </c>
      <c r="R315" s="199">
        <f t="shared" si="152"/>
        <v>100</v>
      </c>
      <c r="S315" s="199">
        <f t="shared" si="158"/>
        <v>0.23477896618838406</v>
      </c>
    </row>
    <row r="316" spans="1:19" ht="15.75" customHeight="1" x14ac:dyDescent="0.2">
      <c r="A316" s="201"/>
      <c r="B316" s="127">
        <v>8</v>
      </c>
      <c r="C316" s="195">
        <v>4</v>
      </c>
      <c r="D316" s="196" t="s">
        <v>513</v>
      </c>
      <c r="E316" s="197">
        <v>631</v>
      </c>
      <c r="F316" s="197">
        <v>246</v>
      </c>
      <c r="G316" s="198"/>
      <c r="H316" s="198"/>
      <c r="I316" s="198">
        <v>317</v>
      </c>
      <c r="J316" s="198">
        <v>317</v>
      </c>
      <c r="K316" s="199"/>
      <c r="L316" s="199"/>
      <c r="M316" s="199"/>
      <c r="N316" s="199"/>
      <c r="O316" s="199"/>
      <c r="P316" s="199"/>
      <c r="Q316" s="199"/>
      <c r="R316" s="199"/>
      <c r="S316" s="199"/>
    </row>
    <row r="317" spans="1:19" s="215" customFormat="1" ht="25.5" customHeight="1" x14ac:dyDescent="0.2">
      <c r="A317" s="126" t="s">
        <v>515</v>
      </c>
      <c r="B317" s="127">
        <v>8</v>
      </c>
      <c r="C317" s="195">
        <v>4</v>
      </c>
      <c r="D317" s="197" t="s">
        <v>516</v>
      </c>
      <c r="E317" s="197"/>
      <c r="F317" s="197"/>
      <c r="G317" s="198">
        <f t="shared" ref="G317:J318" si="160">G318</f>
        <v>0</v>
      </c>
      <c r="H317" s="198">
        <f>H318</f>
        <v>25</v>
      </c>
      <c r="I317" s="198">
        <f t="shared" si="160"/>
        <v>25</v>
      </c>
      <c r="J317" s="198">
        <f t="shared" si="160"/>
        <v>25</v>
      </c>
      <c r="K317" s="199">
        <f t="shared" si="145"/>
        <v>0</v>
      </c>
      <c r="L317" s="199">
        <f t="shared" si="146"/>
        <v>100</v>
      </c>
      <c r="M317" s="199">
        <f t="shared" si="147"/>
        <v>0</v>
      </c>
      <c r="N317" s="199">
        <f t="shared" si="148"/>
        <v>100</v>
      </c>
      <c r="O317" s="199"/>
      <c r="P317" s="199">
        <f t="shared" si="150"/>
        <v>100</v>
      </c>
      <c r="Q317" s="199">
        <f t="shared" si="151"/>
        <v>25</v>
      </c>
      <c r="R317" s="199"/>
      <c r="S317" s="199">
        <f>J317/$J$355*100</f>
        <v>1.8515691339777925E-2</v>
      </c>
    </row>
    <row r="318" spans="1:19" ht="35.25" customHeight="1" x14ac:dyDescent="0.2">
      <c r="A318" s="201" t="s">
        <v>435</v>
      </c>
      <c r="B318" s="127">
        <v>8</v>
      </c>
      <c r="C318" s="195">
        <v>4</v>
      </c>
      <c r="D318" s="196" t="s">
        <v>516</v>
      </c>
      <c r="E318" s="197">
        <v>600</v>
      </c>
      <c r="F318" s="197"/>
      <c r="G318" s="198">
        <f t="shared" si="160"/>
        <v>0</v>
      </c>
      <c r="H318" s="198">
        <f>H319</f>
        <v>25</v>
      </c>
      <c r="I318" s="198">
        <f t="shared" si="160"/>
        <v>25</v>
      </c>
      <c r="J318" s="198">
        <f t="shared" si="160"/>
        <v>25</v>
      </c>
      <c r="K318" s="199">
        <f t="shared" si="145"/>
        <v>0</v>
      </c>
      <c r="L318" s="199">
        <f t="shared" si="146"/>
        <v>100</v>
      </c>
      <c r="M318" s="199">
        <f t="shared" si="147"/>
        <v>0</v>
      </c>
      <c r="N318" s="199">
        <f t="shared" si="148"/>
        <v>100</v>
      </c>
      <c r="O318" s="199"/>
      <c r="P318" s="199">
        <f t="shared" si="150"/>
        <v>100</v>
      </c>
      <c r="Q318" s="199">
        <f t="shared" si="151"/>
        <v>25</v>
      </c>
      <c r="R318" s="199"/>
      <c r="S318" s="199">
        <f>J318/$J$355*100</f>
        <v>1.8515691339777925E-2</v>
      </c>
    </row>
    <row r="319" spans="1:19" ht="15.75" customHeight="1" x14ac:dyDescent="0.2">
      <c r="A319" s="201" t="s">
        <v>504</v>
      </c>
      <c r="B319" s="127">
        <v>8</v>
      </c>
      <c r="C319" s="195">
        <v>4</v>
      </c>
      <c r="D319" s="196" t="s">
        <v>516</v>
      </c>
      <c r="E319" s="197">
        <v>610</v>
      </c>
      <c r="F319" s="197"/>
      <c r="G319" s="198"/>
      <c r="H319" s="198">
        <f>'[4]приложение №3 (5) 2022г.'!G233</f>
        <v>25</v>
      </c>
      <c r="I319" s="198">
        <f>I320</f>
        <v>25</v>
      </c>
      <c r="J319" s="198">
        <f>J320</f>
        <v>25</v>
      </c>
      <c r="K319" s="199">
        <f t="shared" si="145"/>
        <v>0</v>
      </c>
      <c r="L319" s="199">
        <f t="shared" si="146"/>
        <v>100</v>
      </c>
      <c r="M319" s="199">
        <f t="shared" si="147"/>
        <v>0</v>
      </c>
      <c r="N319" s="199">
        <f t="shared" si="148"/>
        <v>100</v>
      </c>
      <c r="O319" s="199"/>
      <c r="P319" s="199">
        <f t="shared" si="150"/>
        <v>100</v>
      </c>
      <c r="Q319" s="199">
        <f t="shared" si="151"/>
        <v>25</v>
      </c>
      <c r="R319" s="199"/>
      <c r="S319" s="199">
        <f>J319/$J$355*100</f>
        <v>1.8515691339777925E-2</v>
      </c>
    </row>
    <row r="320" spans="1:19" ht="19.5" customHeight="1" x14ac:dyDescent="0.2">
      <c r="A320" s="201"/>
      <c r="B320" s="127">
        <v>8</v>
      </c>
      <c r="C320" s="195">
        <v>4</v>
      </c>
      <c r="D320" s="196" t="s">
        <v>516</v>
      </c>
      <c r="E320" s="197">
        <v>612</v>
      </c>
      <c r="F320" s="197">
        <v>241</v>
      </c>
      <c r="G320" s="198"/>
      <c r="H320" s="198"/>
      <c r="I320" s="198">
        <v>25</v>
      </c>
      <c r="J320" s="198">
        <v>25</v>
      </c>
      <c r="K320" s="199"/>
      <c r="L320" s="199"/>
      <c r="M320" s="199"/>
      <c r="N320" s="199"/>
      <c r="O320" s="199"/>
      <c r="P320" s="199"/>
      <c r="Q320" s="199"/>
      <c r="R320" s="199"/>
      <c r="S320" s="199"/>
    </row>
    <row r="321" spans="1:19" s="215" customFormat="1" ht="48.75" customHeight="1" x14ac:dyDescent="0.2">
      <c r="A321" s="126" t="s">
        <v>517</v>
      </c>
      <c r="B321" s="127">
        <v>8</v>
      </c>
      <c r="C321" s="195">
        <v>4</v>
      </c>
      <c r="D321" s="197" t="s">
        <v>518</v>
      </c>
      <c r="E321" s="197"/>
      <c r="F321" s="197"/>
      <c r="G321" s="198">
        <f t="shared" ref="G321:J322" si="161">G322</f>
        <v>0</v>
      </c>
      <c r="H321" s="198">
        <f t="shared" si="161"/>
        <v>17.72</v>
      </c>
      <c r="I321" s="198">
        <f t="shared" si="161"/>
        <v>17.72</v>
      </c>
      <c r="J321" s="198">
        <f t="shared" si="161"/>
        <v>17.72</v>
      </c>
      <c r="K321" s="199">
        <f t="shared" si="145"/>
        <v>0</v>
      </c>
      <c r="L321" s="199">
        <f t="shared" si="146"/>
        <v>100</v>
      </c>
      <c r="M321" s="199">
        <f t="shared" si="147"/>
        <v>0</v>
      </c>
      <c r="N321" s="199">
        <f t="shared" si="148"/>
        <v>100</v>
      </c>
      <c r="O321" s="199"/>
      <c r="P321" s="199">
        <f t="shared" si="150"/>
        <v>100</v>
      </c>
      <c r="Q321" s="199">
        <f t="shared" si="151"/>
        <v>17.72</v>
      </c>
      <c r="R321" s="199"/>
      <c r="S321" s="199">
        <f>J321/$J$355*100</f>
        <v>1.3123922021634593E-2</v>
      </c>
    </row>
    <row r="322" spans="1:19" ht="39.75" customHeight="1" x14ac:dyDescent="0.2">
      <c r="A322" s="201" t="s">
        <v>435</v>
      </c>
      <c r="B322" s="127">
        <v>8</v>
      </c>
      <c r="C322" s="195">
        <v>4</v>
      </c>
      <c r="D322" s="196" t="s">
        <v>518</v>
      </c>
      <c r="E322" s="197">
        <v>600</v>
      </c>
      <c r="F322" s="197"/>
      <c r="G322" s="198">
        <f t="shared" si="161"/>
        <v>0</v>
      </c>
      <c r="H322" s="198">
        <f t="shared" si="161"/>
        <v>17.72</v>
      </c>
      <c r="I322" s="198">
        <f t="shared" si="161"/>
        <v>17.72</v>
      </c>
      <c r="J322" s="198">
        <f t="shared" si="161"/>
        <v>17.72</v>
      </c>
      <c r="K322" s="199">
        <f t="shared" si="145"/>
        <v>0</v>
      </c>
      <c r="L322" s="199">
        <f t="shared" si="146"/>
        <v>100</v>
      </c>
      <c r="M322" s="199">
        <f t="shared" si="147"/>
        <v>0</v>
      </c>
      <c r="N322" s="199">
        <f t="shared" si="148"/>
        <v>100</v>
      </c>
      <c r="O322" s="199"/>
      <c r="P322" s="199">
        <f t="shared" si="150"/>
        <v>100</v>
      </c>
      <c r="Q322" s="199">
        <f t="shared" si="151"/>
        <v>17.72</v>
      </c>
      <c r="R322" s="199"/>
      <c r="S322" s="199">
        <f>J322/$J$355*100</f>
        <v>1.3123922021634593E-2</v>
      </c>
    </row>
    <row r="323" spans="1:19" ht="19.5" customHeight="1" x14ac:dyDescent="0.2">
      <c r="A323" s="201" t="s">
        <v>504</v>
      </c>
      <c r="B323" s="127">
        <v>8</v>
      </c>
      <c r="C323" s="195">
        <v>4</v>
      </c>
      <c r="D323" s="197" t="s">
        <v>518</v>
      </c>
      <c r="E323" s="197">
        <v>610</v>
      </c>
      <c r="F323" s="197"/>
      <c r="G323" s="198"/>
      <c r="H323" s="198">
        <v>17.72</v>
      </c>
      <c r="I323" s="198">
        <f>I324</f>
        <v>17.72</v>
      </c>
      <c r="J323" s="198">
        <f>J324</f>
        <v>17.72</v>
      </c>
      <c r="K323" s="199">
        <f t="shared" si="145"/>
        <v>0</v>
      </c>
      <c r="L323" s="199">
        <f t="shared" si="146"/>
        <v>100</v>
      </c>
      <c r="M323" s="199">
        <f t="shared" si="147"/>
        <v>0</v>
      </c>
      <c r="N323" s="199">
        <f t="shared" si="148"/>
        <v>100</v>
      </c>
      <c r="O323" s="199"/>
      <c r="P323" s="199">
        <f t="shared" si="150"/>
        <v>100</v>
      </c>
      <c r="Q323" s="199">
        <f t="shared" si="151"/>
        <v>17.72</v>
      </c>
      <c r="R323" s="199"/>
      <c r="S323" s="199">
        <f>J323/$J$355*100</f>
        <v>1.3123922021634593E-2</v>
      </c>
    </row>
    <row r="324" spans="1:19" ht="19.5" customHeight="1" x14ac:dyDescent="0.2">
      <c r="A324" s="201"/>
      <c r="B324" s="127">
        <v>8</v>
      </c>
      <c r="C324" s="195">
        <v>4</v>
      </c>
      <c r="D324" s="197" t="s">
        <v>518</v>
      </c>
      <c r="E324" s="197">
        <v>612</v>
      </c>
      <c r="F324" s="197">
        <v>241</v>
      </c>
      <c r="G324" s="198"/>
      <c r="H324" s="198"/>
      <c r="I324" s="198">
        <v>17.72</v>
      </c>
      <c r="J324" s="198">
        <v>17.72</v>
      </c>
      <c r="K324" s="199"/>
      <c r="L324" s="199"/>
      <c r="M324" s="199"/>
      <c r="N324" s="199"/>
      <c r="O324" s="199"/>
      <c r="P324" s="199"/>
      <c r="Q324" s="199"/>
      <c r="R324" s="199"/>
      <c r="S324" s="199"/>
    </row>
    <row r="325" spans="1:19" s="188" customFormat="1" ht="18.75" customHeight="1" x14ac:dyDescent="0.25">
      <c r="A325" s="181" t="s">
        <v>352</v>
      </c>
      <c r="B325" s="214">
        <v>10</v>
      </c>
      <c r="C325" s="211"/>
      <c r="D325" s="184"/>
      <c r="E325" s="185"/>
      <c r="F325" s="185"/>
      <c r="G325" s="186">
        <f t="shared" ref="G325:J330" si="162">G326</f>
        <v>120</v>
      </c>
      <c r="H325" s="186">
        <f t="shared" si="162"/>
        <v>125</v>
      </c>
      <c r="I325" s="186">
        <f t="shared" si="162"/>
        <v>125</v>
      </c>
      <c r="J325" s="186">
        <f t="shared" si="162"/>
        <v>125</v>
      </c>
      <c r="K325" s="187">
        <f t="shared" si="145"/>
        <v>0</v>
      </c>
      <c r="L325" s="187">
        <f t="shared" si="146"/>
        <v>100</v>
      </c>
      <c r="M325" s="187">
        <f t="shared" si="147"/>
        <v>0</v>
      </c>
      <c r="N325" s="187">
        <f t="shared" si="148"/>
        <v>100</v>
      </c>
      <c r="O325" s="187">
        <f t="shared" si="149"/>
        <v>104.16666666666667</v>
      </c>
      <c r="P325" s="187">
        <f t="shared" si="150"/>
        <v>100</v>
      </c>
      <c r="Q325" s="187">
        <f t="shared" si="151"/>
        <v>5</v>
      </c>
      <c r="R325" s="187">
        <f t="shared" si="152"/>
        <v>104.16666666666667</v>
      </c>
      <c r="S325" s="187">
        <f t="shared" ref="S325:S331" si="163">J325/$J$355*100</f>
        <v>9.2578456698889616E-2</v>
      </c>
    </row>
    <row r="326" spans="1:19" s="188" customFormat="1" ht="18.75" customHeight="1" x14ac:dyDescent="0.25">
      <c r="A326" s="237" t="s">
        <v>353</v>
      </c>
      <c r="B326" s="221">
        <v>10</v>
      </c>
      <c r="C326" s="222">
        <v>1</v>
      </c>
      <c r="D326" s="238"/>
      <c r="E326" s="224"/>
      <c r="F326" s="224"/>
      <c r="G326" s="225">
        <f t="shared" si="162"/>
        <v>120</v>
      </c>
      <c r="H326" s="225">
        <f t="shared" si="162"/>
        <v>125</v>
      </c>
      <c r="I326" s="225">
        <f t="shared" si="162"/>
        <v>125</v>
      </c>
      <c r="J326" s="225">
        <f t="shared" si="162"/>
        <v>125</v>
      </c>
      <c r="K326" s="187">
        <f t="shared" si="145"/>
        <v>0</v>
      </c>
      <c r="L326" s="187">
        <f t="shared" si="146"/>
        <v>100</v>
      </c>
      <c r="M326" s="187">
        <f t="shared" si="147"/>
        <v>0</v>
      </c>
      <c r="N326" s="187">
        <f t="shared" si="148"/>
        <v>100</v>
      </c>
      <c r="O326" s="187">
        <f t="shared" si="149"/>
        <v>104.16666666666667</v>
      </c>
      <c r="P326" s="187">
        <f t="shared" si="150"/>
        <v>100</v>
      </c>
      <c r="Q326" s="187">
        <f t="shared" si="151"/>
        <v>5</v>
      </c>
      <c r="R326" s="187">
        <f t="shared" si="152"/>
        <v>104.16666666666667</v>
      </c>
      <c r="S326" s="187">
        <f t="shared" si="163"/>
        <v>9.2578456698889616E-2</v>
      </c>
    </row>
    <row r="327" spans="1:19" ht="19.5" customHeight="1" x14ac:dyDescent="0.2">
      <c r="A327" s="126" t="s">
        <v>499</v>
      </c>
      <c r="B327" s="127">
        <v>10</v>
      </c>
      <c r="C327" s="195">
        <v>1</v>
      </c>
      <c r="D327" s="197" t="s">
        <v>371</v>
      </c>
      <c r="E327" s="197"/>
      <c r="F327" s="197"/>
      <c r="G327" s="198">
        <f t="shared" si="162"/>
        <v>120</v>
      </c>
      <c r="H327" s="198">
        <f t="shared" si="162"/>
        <v>125</v>
      </c>
      <c r="I327" s="198">
        <f t="shared" si="162"/>
        <v>125</v>
      </c>
      <c r="J327" s="198">
        <f t="shared" si="162"/>
        <v>125</v>
      </c>
      <c r="K327" s="199">
        <f t="shared" si="145"/>
        <v>0</v>
      </c>
      <c r="L327" s="199">
        <f t="shared" si="146"/>
        <v>100</v>
      </c>
      <c r="M327" s="199">
        <f t="shared" si="147"/>
        <v>0</v>
      </c>
      <c r="N327" s="199">
        <f t="shared" si="148"/>
        <v>100</v>
      </c>
      <c r="O327" s="199">
        <f t="shared" si="149"/>
        <v>104.16666666666667</v>
      </c>
      <c r="P327" s="199">
        <f t="shared" si="150"/>
        <v>100</v>
      </c>
      <c r="Q327" s="199">
        <f t="shared" si="151"/>
        <v>5</v>
      </c>
      <c r="R327" s="199">
        <f t="shared" si="152"/>
        <v>104.16666666666667</v>
      </c>
      <c r="S327" s="199">
        <f t="shared" si="163"/>
        <v>9.2578456698889616E-2</v>
      </c>
    </row>
    <row r="328" spans="1:19" ht="33.75" customHeight="1" x14ac:dyDescent="0.2">
      <c r="A328" s="126" t="s">
        <v>372</v>
      </c>
      <c r="B328" s="127">
        <v>10</v>
      </c>
      <c r="C328" s="195">
        <v>1</v>
      </c>
      <c r="D328" s="197" t="s">
        <v>373</v>
      </c>
      <c r="E328" s="197"/>
      <c r="F328" s="197"/>
      <c r="G328" s="198">
        <f t="shared" si="162"/>
        <v>120</v>
      </c>
      <c r="H328" s="198">
        <f t="shared" si="162"/>
        <v>125</v>
      </c>
      <c r="I328" s="198">
        <f t="shared" si="162"/>
        <v>125</v>
      </c>
      <c r="J328" s="198">
        <f t="shared" si="162"/>
        <v>125</v>
      </c>
      <c r="K328" s="199">
        <f t="shared" si="145"/>
        <v>0</v>
      </c>
      <c r="L328" s="199">
        <f t="shared" si="146"/>
        <v>100</v>
      </c>
      <c r="M328" s="199">
        <f t="shared" si="147"/>
        <v>0</v>
      </c>
      <c r="N328" s="199">
        <f t="shared" si="148"/>
        <v>100</v>
      </c>
      <c r="O328" s="199">
        <f t="shared" si="149"/>
        <v>104.16666666666667</v>
      </c>
      <c r="P328" s="199">
        <f t="shared" si="150"/>
        <v>100</v>
      </c>
      <c r="Q328" s="199">
        <f t="shared" si="151"/>
        <v>5</v>
      </c>
      <c r="R328" s="199">
        <f t="shared" si="152"/>
        <v>104.16666666666667</v>
      </c>
      <c r="S328" s="199">
        <f t="shared" si="163"/>
        <v>9.2578456698889616E-2</v>
      </c>
    </row>
    <row r="329" spans="1:19" ht="25.5" customHeight="1" x14ac:dyDescent="0.2">
      <c r="A329" s="126" t="s">
        <v>519</v>
      </c>
      <c r="B329" s="127">
        <v>10</v>
      </c>
      <c r="C329" s="195">
        <v>1</v>
      </c>
      <c r="D329" s="197" t="s">
        <v>520</v>
      </c>
      <c r="E329" s="197"/>
      <c r="F329" s="197"/>
      <c r="G329" s="198">
        <f t="shared" si="162"/>
        <v>120</v>
      </c>
      <c r="H329" s="198">
        <f t="shared" si="162"/>
        <v>125</v>
      </c>
      <c r="I329" s="198">
        <f t="shared" si="162"/>
        <v>125</v>
      </c>
      <c r="J329" s="198">
        <f t="shared" si="162"/>
        <v>125</v>
      </c>
      <c r="K329" s="199">
        <f t="shared" si="145"/>
        <v>0</v>
      </c>
      <c r="L329" s="199">
        <f t="shared" si="146"/>
        <v>100</v>
      </c>
      <c r="M329" s="199">
        <f t="shared" si="147"/>
        <v>0</v>
      </c>
      <c r="N329" s="199">
        <f t="shared" si="148"/>
        <v>100</v>
      </c>
      <c r="O329" s="199">
        <f t="shared" si="149"/>
        <v>104.16666666666667</v>
      </c>
      <c r="P329" s="199">
        <f t="shared" si="150"/>
        <v>100</v>
      </c>
      <c r="Q329" s="199">
        <f t="shared" si="151"/>
        <v>5</v>
      </c>
      <c r="R329" s="199">
        <f t="shared" si="152"/>
        <v>104.16666666666667</v>
      </c>
      <c r="S329" s="199">
        <f t="shared" si="163"/>
        <v>9.2578456698889616E-2</v>
      </c>
    </row>
    <row r="330" spans="1:19" ht="18.75" customHeight="1" x14ac:dyDescent="0.2">
      <c r="A330" s="201" t="s">
        <v>521</v>
      </c>
      <c r="B330" s="127">
        <v>10</v>
      </c>
      <c r="C330" s="195">
        <v>1</v>
      </c>
      <c r="D330" s="197" t="s">
        <v>520</v>
      </c>
      <c r="E330" s="197">
        <v>300</v>
      </c>
      <c r="F330" s="197"/>
      <c r="G330" s="198">
        <f t="shared" si="162"/>
        <v>120</v>
      </c>
      <c r="H330" s="198">
        <f t="shared" si="162"/>
        <v>125</v>
      </c>
      <c r="I330" s="198">
        <f t="shared" si="162"/>
        <v>125</v>
      </c>
      <c r="J330" s="198">
        <f t="shared" si="162"/>
        <v>125</v>
      </c>
      <c r="K330" s="199">
        <f t="shared" si="145"/>
        <v>0</v>
      </c>
      <c r="L330" s="199">
        <f t="shared" si="146"/>
        <v>100</v>
      </c>
      <c r="M330" s="199">
        <f t="shared" si="147"/>
        <v>0</v>
      </c>
      <c r="N330" s="199">
        <f t="shared" si="148"/>
        <v>100</v>
      </c>
      <c r="O330" s="199">
        <f t="shared" si="149"/>
        <v>104.16666666666667</v>
      </c>
      <c r="P330" s="199">
        <f t="shared" si="150"/>
        <v>100</v>
      </c>
      <c r="Q330" s="199">
        <f t="shared" si="151"/>
        <v>5</v>
      </c>
      <c r="R330" s="199">
        <f t="shared" si="152"/>
        <v>104.16666666666667</v>
      </c>
      <c r="S330" s="199">
        <f t="shared" si="163"/>
        <v>9.2578456698889616E-2</v>
      </c>
    </row>
    <row r="331" spans="1:19" ht="27" customHeight="1" x14ac:dyDescent="0.2">
      <c r="A331" s="201" t="s">
        <v>522</v>
      </c>
      <c r="B331" s="127">
        <v>10</v>
      </c>
      <c r="C331" s="195">
        <v>1</v>
      </c>
      <c r="D331" s="197" t="s">
        <v>520</v>
      </c>
      <c r="E331" s="197">
        <v>310</v>
      </c>
      <c r="F331" s="197"/>
      <c r="G331" s="198">
        <v>120</v>
      </c>
      <c r="H331" s="198">
        <f>'[4]приложение №3 (5) 2022г.'!G243</f>
        <v>125</v>
      </c>
      <c r="I331" s="198">
        <f>I332</f>
        <v>125</v>
      </c>
      <c r="J331" s="198">
        <f>J332</f>
        <v>125</v>
      </c>
      <c r="K331" s="199">
        <f t="shared" si="145"/>
        <v>0</v>
      </c>
      <c r="L331" s="199">
        <f t="shared" si="146"/>
        <v>100</v>
      </c>
      <c r="M331" s="199">
        <f t="shared" si="147"/>
        <v>0</v>
      </c>
      <c r="N331" s="199">
        <f t="shared" si="148"/>
        <v>100</v>
      </c>
      <c r="O331" s="199">
        <f t="shared" si="149"/>
        <v>104.16666666666667</v>
      </c>
      <c r="P331" s="199">
        <f t="shared" si="150"/>
        <v>100</v>
      </c>
      <c r="Q331" s="199">
        <f t="shared" si="151"/>
        <v>5</v>
      </c>
      <c r="R331" s="199">
        <f t="shared" si="152"/>
        <v>104.16666666666667</v>
      </c>
      <c r="S331" s="199">
        <f t="shared" si="163"/>
        <v>9.2578456698889616E-2</v>
      </c>
    </row>
    <row r="332" spans="1:19" ht="19.5" customHeight="1" x14ac:dyDescent="0.2">
      <c r="A332" s="201"/>
      <c r="B332" s="127">
        <v>10</v>
      </c>
      <c r="C332" s="195">
        <v>1</v>
      </c>
      <c r="D332" s="197" t="s">
        <v>520</v>
      </c>
      <c r="E332" s="197">
        <v>312</v>
      </c>
      <c r="F332" s="197">
        <v>264</v>
      </c>
      <c r="G332" s="198"/>
      <c r="H332" s="198"/>
      <c r="I332" s="198">
        <v>125</v>
      </c>
      <c r="J332" s="198">
        <v>125</v>
      </c>
      <c r="K332" s="199"/>
      <c r="L332" s="199"/>
      <c r="M332" s="199"/>
      <c r="N332" s="199"/>
      <c r="O332" s="199"/>
      <c r="P332" s="199"/>
      <c r="Q332" s="199"/>
      <c r="R332" s="199"/>
      <c r="S332" s="199"/>
    </row>
    <row r="333" spans="1:19" s="230" customFormat="1" ht="18" customHeight="1" x14ac:dyDescent="0.3">
      <c r="A333" s="181" t="s">
        <v>354</v>
      </c>
      <c r="B333" s="240">
        <v>11</v>
      </c>
      <c r="C333" s="211"/>
      <c r="D333" s="185"/>
      <c r="E333" s="185"/>
      <c r="F333" s="185"/>
      <c r="G333" s="186">
        <f t="shared" ref="G333:J334" si="164">G334</f>
        <v>11622.3</v>
      </c>
      <c r="H333" s="186">
        <f t="shared" si="164"/>
        <v>13536.93</v>
      </c>
      <c r="I333" s="186">
        <f t="shared" si="164"/>
        <v>13536.8827</v>
      </c>
      <c r="J333" s="186">
        <f t="shared" si="164"/>
        <v>13536.8827</v>
      </c>
      <c r="K333" s="187">
        <f t="shared" si="145"/>
        <v>-4.7300000000177533E-2</v>
      </c>
      <c r="L333" s="187">
        <f t="shared" si="146"/>
        <v>99.99965058547248</v>
      </c>
      <c r="M333" s="187">
        <f t="shared" si="147"/>
        <v>0</v>
      </c>
      <c r="N333" s="187">
        <f t="shared" si="148"/>
        <v>100</v>
      </c>
      <c r="O333" s="187">
        <f t="shared" si="149"/>
        <v>116.47335467162267</v>
      </c>
      <c r="P333" s="187">
        <f t="shared" si="150"/>
        <v>99.99965058547248</v>
      </c>
      <c r="Q333" s="187">
        <f t="shared" si="151"/>
        <v>1914.630000000001</v>
      </c>
      <c r="R333" s="187">
        <f t="shared" si="152"/>
        <v>116.47376164786661</v>
      </c>
      <c r="S333" s="187">
        <f t="shared" ref="S333:S339" si="165">J333/$J$355*100</f>
        <v>10.025789671039185</v>
      </c>
    </row>
    <row r="334" spans="1:19" s="230" customFormat="1" ht="18.75" customHeight="1" x14ac:dyDescent="0.3">
      <c r="A334" s="237" t="s">
        <v>523</v>
      </c>
      <c r="B334" s="221">
        <v>11</v>
      </c>
      <c r="C334" s="241" t="s">
        <v>303</v>
      </c>
      <c r="D334" s="224"/>
      <c r="E334" s="224"/>
      <c r="F334" s="224"/>
      <c r="G334" s="225">
        <f t="shared" si="164"/>
        <v>11622.3</v>
      </c>
      <c r="H334" s="225">
        <f t="shared" si="164"/>
        <v>13536.93</v>
      </c>
      <c r="I334" s="225">
        <f t="shared" si="164"/>
        <v>13536.8827</v>
      </c>
      <c r="J334" s="225">
        <f t="shared" si="164"/>
        <v>13536.8827</v>
      </c>
      <c r="K334" s="187">
        <f t="shared" si="145"/>
        <v>-4.7300000000177533E-2</v>
      </c>
      <c r="L334" s="187">
        <f t="shared" si="146"/>
        <v>99.99965058547248</v>
      </c>
      <c r="M334" s="187">
        <f t="shared" si="147"/>
        <v>0</v>
      </c>
      <c r="N334" s="187">
        <f t="shared" si="148"/>
        <v>100</v>
      </c>
      <c r="O334" s="187">
        <f t="shared" si="149"/>
        <v>116.47335467162267</v>
      </c>
      <c r="P334" s="187">
        <f t="shared" si="150"/>
        <v>99.99965058547248</v>
      </c>
      <c r="Q334" s="187">
        <f t="shared" si="151"/>
        <v>1914.630000000001</v>
      </c>
      <c r="R334" s="187">
        <f t="shared" si="152"/>
        <v>116.47376164786661</v>
      </c>
      <c r="S334" s="187">
        <f t="shared" si="165"/>
        <v>10.025789671039185</v>
      </c>
    </row>
    <row r="335" spans="1:19" s="242" customFormat="1" ht="20.25" customHeight="1" x14ac:dyDescent="0.3">
      <c r="A335" s="126" t="s">
        <v>499</v>
      </c>
      <c r="B335" s="127">
        <v>11</v>
      </c>
      <c r="C335" s="195" t="s">
        <v>303</v>
      </c>
      <c r="D335" s="197" t="s">
        <v>371</v>
      </c>
      <c r="E335" s="197"/>
      <c r="F335" s="197"/>
      <c r="G335" s="198">
        <f t="shared" ref="G335:J335" si="166">G336+G350</f>
        <v>11622.3</v>
      </c>
      <c r="H335" s="198">
        <f>H336+H350</f>
        <v>13536.93</v>
      </c>
      <c r="I335" s="198">
        <f t="shared" si="166"/>
        <v>13536.8827</v>
      </c>
      <c r="J335" s="198">
        <f t="shared" si="166"/>
        <v>13536.8827</v>
      </c>
      <c r="K335" s="199">
        <f t="shared" si="145"/>
        <v>-4.7300000000177533E-2</v>
      </c>
      <c r="L335" s="199">
        <f t="shared" si="146"/>
        <v>99.99965058547248</v>
      </c>
      <c r="M335" s="199">
        <f t="shared" si="147"/>
        <v>0</v>
      </c>
      <c r="N335" s="199">
        <f t="shared" si="148"/>
        <v>100</v>
      </c>
      <c r="O335" s="199">
        <f t="shared" si="149"/>
        <v>116.47335467162267</v>
      </c>
      <c r="P335" s="199">
        <f t="shared" si="150"/>
        <v>99.99965058547248</v>
      </c>
      <c r="Q335" s="199">
        <f t="shared" si="151"/>
        <v>1914.630000000001</v>
      </c>
      <c r="R335" s="199">
        <f t="shared" si="152"/>
        <v>116.47376164786661</v>
      </c>
      <c r="S335" s="199">
        <f t="shared" si="165"/>
        <v>10.025789671039185</v>
      </c>
    </row>
    <row r="336" spans="1:19" s="242" customFormat="1" ht="28.5" customHeight="1" x14ac:dyDescent="0.3">
      <c r="A336" s="126" t="s">
        <v>524</v>
      </c>
      <c r="B336" s="127">
        <v>11</v>
      </c>
      <c r="C336" s="195" t="s">
        <v>303</v>
      </c>
      <c r="D336" s="197" t="s">
        <v>485</v>
      </c>
      <c r="E336" s="197"/>
      <c r="F336" s="197"/>
      <c r="G336" s="198">
        <f>G337+G342+G346</f>
        <v>11622.3</v>
      </c>
      <c r="H336" s="198">
        <f>H337+H342+H346</f>
        <v>13416.93</v>
      </c>
      <c r="I336" s="198">
        <f t="shared" ref="I336:J336" si="167">I337+I342+I346</f>
        <v>13416.8827</v>
      </c>
      <c r="J336" s="198">
        <f t="shared" si="167"/>
        <v>13416.8827</v>
      </c>
      <c r="K336" s="199">
        <f t="shared" si="145"/>
        <v>-4.7300000000177533E-2</v>
      </c>
      <c r="L336" s="199">
        <f t="shared" si="146"/>
        <v>99.999647460335567</v>
      </c>
      <c r="M336" s="199">
        <f t="shared" si="147"/>
        <v>0</v>
      </c>
      <c r="N336" s="199">
        <f t="shared" si="148"/>
        <v>100</v>
      </c>
      <c r="O336" s="199">
        <f t="shared" si="149"/>
        <v>115.44085680114952</v>
      </c>
      <c r="P336" s="199">
        <f t="shared" si="150"/>
        <v>99.999647460335567</v>
      </c>
      <c r="Q336" s="199">
        <f t="shared" si="151"/>
        <v>1794.630000000001</v>
      </c>
      <c r="R336" s="199">
        <f t="shared" si="152"/>
        <v>115.44126377739347</v>
      </c>
      <c r="S336" s="199">
        <f t="shared" si="165"/>
        <v>9.93691435260825</v>
      </c>
    </row>
    <row r="337" spans="1:19" s="242" customFormat="1" ht="30" customHeight="1" x14ac:dyDescent="0.3">
      <c r="A337" s="126" t="s">
        <v>502</v>
      </c>
      <c r="B337" s="127">
        <v>11</v>
      </c>
      <c r="C337" s="195" t="s">
        <v>303</v>
      </c>
      <c r="D337" s="197" t="s">
        <v>525</v>
      </c>
      <c r="E337" s="197"/>
      <c r="F337" s="197"/>
      <c r="G337" s="198">
        <f t="shared" ref="G337:J338" si="168">G338</f>
        <v>11556.3</v>
      </c>
      <c r="H337" s="198">
        <f t="shared" si="168"/>
        <v>13282.1</v>
      </c>
      <c r="I337" s="198">
        <f t="shared" si="168"/>
        <v>13282.05177</v>
      </c>
      <c r="J337" s="198">
        <f t="shared" si="168"/>
        <v>13282.05177</v>
      </c>
      <c r="K337" s="199">
        <f t="shared" si="145"/>
        <v>-4.823000000033062E-2</v>
      </c>
      <c r="L337" s="199">
        <f t="shared" si="146"/>
        <v>99.99963687971028</v>
      </c>
      <c r="M337" s="199">
        <f t="shared" si="147"/>
        <v>0</v>
      </c>
      <c r="N337" s="199">
        <f t="shared" si="148"/>
        <v>100</v>
      </c>
      <c r="O337" s="199">
        <f t="shared" si="149"/>
        <v>114.93342825991017</v>
      </c>
      <c r="P337" s="199">
        <f t="shared" si="150"/>
        <v>99.99963687971028</v>
      </c>
      <c r="Q337" s="199">
        <f t="shared" si="151"/>
        <v>1725.8000000000011</v>
      </c>
      <c r="R337" s="199">
        <f t="shared" si="152"/>
        <v>114.93384560802333</v>
      </c>
      <c r="S337" s="199">
        <f t="shared" si="165"/>
        <v>9.8370548372908413</v>
      </c>
    </row>
    <row r="338" spans="1:19" ht="37.5" customHeight="1" x14ac:dyDescent="0.2">
      <c r="A338" s="201" t="s">
        <v>435</v>
      </c>
      <c r="B338" s="127">
        <v>11</v>
      </c>
      <c r="C338" s="195">
        <v>1</v>
      </c>
      <c r="D338" s="196" t="s">
        <v>525</v>
      </c>
      <c r="E338" s="197">
        <v>600</v>
      </c>
      <c r="F338" s="197"/>
      <c r="G338" s="198">
        <f t="shared" si="168"/>
        <v>11556.3</v>
      </c>
      <c r="H338" s="198">
        <f t="shared" si="168"/>
        <v>13282.1</v>
      </c>
      <c r="I338" s="198">
        <f t="shared" si="168"/>
        <v>13282.05177</v>
      </c>
      <c r="J338" s="198">
        <f t="shared" si="168"/>
        <v>13282.05177</v>
      </c>
      <c r="K338" s="199">
        <f t="shared" si="145"/>
        <v>-4.823000000033062E-2</v>
      </c>
      <c r="L338" s="199">
        <f t="shared" si="146"/>
        <v>99.99963687971028</v>
      </c>
      <c r="M338" s="199">
        <f t="shared" si="147"/>
        <v>0</v>
      </c>
      <c r="N338" s="199">
        <f t="shared" si="148"/>
        <v>100</v>
      </c>
      <c r="O338" s="199">
        <f t="shared" si="149"/>
        <v>114.93342825991017</v>
      </c>
      <c r="P338" s="199">
        <f t="shared" si="150"/>
        <v>99.99963687971028</v>
      </c>
      <c r="Q338" s="199">
        <f t="shared" si="151"/>
        <v>1725.8000000000011</v>
      </c>
      <c r="R338" s="199">
        <f t="shared" si="152"/>
        <v>114.93384560802333</v>
      </c>
      <c r="S338" s="199">
        <f t="shared" si="165"/>
        <v>9.8370548372908413</v>
      </c>
    </row>
    <row r="339" spans="1:19" ht="18" customHeight="1" x14ac:dyDescent="0.2">
      <c r="A339" s="201" t="s">
        <v>504</v>
      </c>
      <c r="B339" s="127">
        <v>11</v>
      </c>
      <c r="C339" s="195">
        <v>1</v>
      </c>
      <c r="D339" s="196" t="s">
        <v>525</v>
      </c>
      <c r="E339" s="197">
        <v>610</v>
      </c>
      <c r="F339" s="197"/>
      <c r="G339" s="198">
        <v>11556.3</v>
      </c>
      <c r="H339" s="198">
        <f>'[4]приложение №3 (5) 2022г.'!G250</f>
        <v>13282.1</v>
      </c>
      <c r="I339" s="198">
        <f>I340+I341</f>
        <v>13282.05177</v>
      </c>
      <c r="J339" s="198">
        <f>J340+J341</f>
        <v>13282.05177</v>
      </c>
      <c r="K339" s="199">
        <f t="shared" si="145"/>
        <v>-4.823000000033062E-2</v>
      </c>
      <c r="L339" s="199">
        <f t="shared" si="146"/>
        <v>99.99963687971028</v>
      </c>
      <c r="M339" s="199">
        <f t="shared" si="147"/>
        <v>0</v>
      </c>
      <c r="N339" s="199">
        <f t="shared" si="148"/>
        <v>100</v>
      </c>
      <c r="O339" s="199">
        <f t="shared" si="149"/>
        <v>114.93342825991017</v>
      </c>
      <c r="P339" s="199">
        <f t="shared" si="150"/>
        <v>99.99963687971028</v>
      </c>
      <c r="Q339" s="199">
        <f t="shared" si="151"/>
        <v>1725.8000000000011</v>
      </c>
      <c r="R339" s="199">
        <f t="shared" si="152"/>
        <v>114.93384560802333</v>
      </c>
      <c r="S339" s="199">
        <f t="shared" si="165"/>
        <v>9.8370548372908413</v>
      </c>
    </row>
    <row r="340" spans="1:19" ht="16.5" customHeight="1" x14ac:dyDescent="0.2">
      <c r="A340" s="201"/>
      <c r="B340" s="127">
        <v>11</v>
      </c>
      <c r="C340" s="195">
        <v>1</v>
      </c>
      <c r="D340" s="196" t="s">
        <v>525</v>
      </c>
      <c r="E340" s="197">
        <v>611</v>
      </c>
      <c r="F340" s="197">
        <v>241</v>
      </c>
      <c r="G340" s="198"/>
      <c r="H340" s="198"/>
      <c r="I340" s="198">
        <v>12621.918960000001</v>
      </c>
      <c r="J340" s="198">
        <v>12621.918960000001</v>
      </c>
      <c r="K340" s="199"/>
      <c r="L340" s="199"/>
      <c r="M340" s="199"/>
      <c r="N340" s="199"/>
      <c r="O340" s="199"/>
      <c r="P340" s="199"/>
      <c r="Q340" s="199"/>
      <c r="R340" s="199"/>
      <c r="S340" s="199"/>
    </row>
    <row r="341" spans="1:19" ht="16.5" customHeight="1" x14ac:dyDescent="0.2">
      <c r="A341" s="201"/>
      <c r="B341" s="127">
        <v>11</v>
      </c>
      <c r="C341" s="195">
        <v>1</v>
      </c>
      <c r="D341" s="196" t="s">
        <v>525</v>
      </c>
      <c r="E341" s="197">
        <v>612</v>
      </c>
      <c r="F341" s="197">
        <v>241</v>
      </c>
      <c r="G341" s="198"/>
      <c r="H341" s="198"/>
      <c r="I341" s="198">
        <v>660.13280999999995</v>
      </c>
      <c r="J341" s="198">
        <v>660.13280999999995</v>
      </c>
      <c r="K341" s="199"/>
      <c r="L341" s="199"/>
      <c r="M341" s="199"/>
      <c r="N341" s="199"/>
      <c r="O341" s="199"/>
      <c r="P341" s="199"/>
      <c r="Q341" s="199"/>
      <c r="R341" s="199"/>
      <c r="S341" s="199"/>
    </row>
    <row r="342" spans="1:19" ht="28.5" customHeight="1" x14ac:dyDescent="0.2">
      <c r="A342" s="126" t="s">
        <v>526</v>
      </c>
      <c r="B342" s="127">
        <v>11</v>
      </c>
      <c r="C342" s="195" t="s">
        <v>303</v>
      </c>
      <c r="D342" s="197" t="s">
        <v>527</v>
      </c>
      <c r="E342" s="197"/>
      <c r="F342" s="197"/>
      <c r="G342" s="198">
        <f t="shared" ref="G342:J343" si="169">G343</f>
        <v>66</v>
      </c>
      <c r="H342" s="198">
        <f t="shared" si="169"/>
        <v>54.677999999999997</v>
      </c>
      <c r="I342" s="198">
        <f t="shared" si="169"/>
        <v>54.678330000000003</v>
      </c>
      <c r="J342" s="198">
        <f t="shared" si="169"/>
        <v>54.678330000000003</v>
      </c>
      <c r="K342" s="199">
        <f t="shared" si="145"/>
        <v>3.3000000000527052E-4</v>
      </c>
      <c r="L342" s="199">
        <f t="shared" si="146"/>
        <v>100.00060353341382</v>
      </c>
      <c r="M342" s="199">
        <f t="shared" si="147"/>
        <v>0</v>
      </c>
      <c r="N342" s="199">
        <f t="shared" si="148"/>
        <v>100</v>
      </c>
      <c r="O342" s="199">
        <f t="shared" si="149"/>
        <v>82.845954545454546</v>
      </c>
      <c r="P342" s="199">
        <f t="shared" si="150"/>
        <v>100.00060353341382</v>
      </c>
      <c r="Q342" s="199">
        <f t="shared" si="151"/>
        <v>-11.322000000000003</v>
      </c>
      <c r="R342" s="199">
        <f t="shared" si="152"/>
        <v>82.845454545454544</v>
      </c>
      <c r="S342" s="199">
        <f>J342/$J$355*100</f>
        <v>4.049628325018078E-2</v>
      </c>
    </row>
    <row r="343" spans="1:19" ht="39" customHeight="1" x14ac:dyDescent="0.2">
      <c r="A343" s="201" t="s">
        <v>435</v>
      </c>
      <c r="B343" s="127">
        <v>11</v>
      </c>
      <c r="C343" s="195">
        <v>1</v>
      </c>
      <c r="D343" s="196" t="s">
        <v>527</v>
      </c>
      <c r="E343" s="197">
        <v>600</v>
      </c>
      <c r="F343" s="197"/>
      <c r="G343" s="198">
        <f t="shared" si="169"/>
        <v>66</v>
      </c>
      <c r="H343" s="198">
        <f t="shared" si="169"/>
        <v>54.677999999999997</v>
      </c>
      <c r="I343" s="198">
        <f t="shared" si="169"/>
        <v>54.678330000000003</v>
      </c>
      <c r="J343" s="198">
        <f t="shared" si="169"/>
        <v>54.678330000000003</v>
      </c>
      <c r="K343" s="199">
        <f t="shared" si="145"/>
        <v>3.3000000000527052E-4</v>
      </c>
      <c r="L343" s="199">
        <f t="shared" si="146"/>
        <v>100.00060353341382</v>
      </c>
      <c r="M343" s="199">
        <f t="shared" si="147"/>
        <v>0</v>
      </c>
      <c r="N343" s="199">
        <f t="shared" si="148"/>
        <v>100</v>
      </c>
      <c r="O343" s="199">
        <f t="shared" si="149"/>
        <v>82.845954545454546</v>
      </c>
      <c r="P343" s="199">
        <f t="shared" si="150"/>
        <v>100.00060353341382</v>
      </c>
      <c r="Q343" s="199">
        <f t="shared" si="151"/>
        <v>-11.322000000000003</v>
      </c>
      <c r="R343" s="199">
        <f t="shared" si="152"/>
        <v>82.845454545454544</v>
      </c>
      <c r="S343" s="199">
        <f>J343/$J$355*100</f>
        <v>4.049628325018078E-2</v>
      </c>
    </row>
    <row r="344" spans="1:19" ht="17.25" customHeight="1" x14ac:dyDescent="0.2">
      <c r="A344" s="201" t="s">
        <v>436</v>
      </c>
      <c r="B344" s="127">
        <v>11</v>
      </c>
      <c r="C344" s="195">
        <v>1</v>
      </c>
      <c r="D344" s="196" t="s">
        <v>527</v>
      </c>
      <c r="E344" s="197">
        <v>610</v>
      </c>
      <c r="F344" s="197"/>
      <c r="G344" s="198">
        <v>66</v>
      </c>
      <c r="H344" s="198">
        <f>'[4]приложение №3 (5) 2022г.'!G253</f>
        <v>54.677999999999997</v>
      </c>
      <c r="I344" s="198">
        <f>I345</f>
        <v>54.678330000000003</v>
      </c>
      <c r="J344" s="198">
        <f>J345</f>
        <v>54.678330000000003</v>
      </c>
      <c r="K344" s="199">
        <f t="shared" si="145"/>
        <v>3.3000000000527052E-4</v>
      </c>
      <c r="L344" s="199">
        <f t="shared" si="146"/>
        <v>100.00060353341382</v>
      </c>
      <c r="M344" s="199">
        <f t="shared" si="147"/>
        <v>0</v>
      </c>
      <c r="N344" s="199">
        <f t="shared" si="148"/>
        <v>100</v>
      </c>
      <c r="O344" s="199">
        <f t="shared" si="149"/>
        <v>82.845954545454546</v>
      </c>
      <c r="P344" s="199">
        <f t="shared" si="150"/>
        <v>100.00060353341382</v>
      </c>
      <c r="Q344" s="199">
        <f t="shared" si="151"/>
        <v>-11.322000000000003</v>
      </c>
      <c r="R344" s="199">
        <f t="shared" si="152"/>
        <v>82.845454545454544</v>
      </c>
      <c r="S344" s="199">
        <f>J344/$J$355*100</f>
        <v>4.049628325018078E-2</v>
      </c>
    </row>
    <row r="345" spans="1:19" ht="17.25" customHeight="1" x14ac:dyDescent="0.2">
      <c r="A345" s="201"/>
      <c r="B345" s="127">
        <v>11</v>
      </c>
      <c r="C345" s="195">
        <v>1</v>
      </c>
      <c r="D345" s="196" t="s">
        <v>528</v>
      </c>
      <c r="E345" s="197">
        <v>611</v>
      </c>
      <c r="F345" s="197">
        <v>241</v>
      </c>
      <c r="G345" s="198"/>
      <c r="H345" s="198"/>
      <c r="I345" s="198">
        <v>54.678330000000003</v>
      </c>
      <c r="J345" s="198">
        <v>54.678330000000003</v>
      </c>
      <c r="K345" s="199"/>
      <c r="L345" s="199"/>
      <c r="M345" s="199"/>
      <c r="N345" s="199"/>
      <c r="O345" s="199"/>
      <c r="P345" s="199"/>
      <c r="Q345" s="199"/>
      <c r="R345" s="199"/>
      <c r="S345" s="199"/>
    </row>
    <row r="346" spans="1:19" ht="29.25" customHeight="1" x14ac:dyDescent="0.2">
      <c r="A346" s="126" t="s">
        <v>529</v>
      </c>
      <c r="B346" s="127">
        <v>11</v>
      </c>
      <c r="C346" s="195">
        <v>1</v>
      </c>
      <c r="D346" s="197" t="s">
        <v>530</v>
      </c>
      <c r="E346" s="197"/>
      <c r="F346" s="197"/>
      <c r="G346" s="198">
        <f t="shared" ref="G346:J347" si="170">G347</f>
        <v>0</v>
      </c>
      <c r="H346" s="198">
        <f t="shared" si="170"/>
        <v>80.152000000000001</v>
      </c>
      <c r="I346" s="198">
        <f t="shared" si="170"/>
        <v>80.152600000000007</v>
      </c>
      <c r="J346" s="198">
        <f t="shared" si="170"/>
        <v>80.152600000000007</v>
      </c>
      <c r="K346" s="199">
        <f t="shared" si="145"/>
        <v>6.0000000000570708E-4</v>
      </c>
      <c r="L346" s="199">
        <f t="shared" si="146"/>
        <v>100.00074857770238</v>
      </c>
      <c r="M346" s="199">
        <f t="shared" si="147"/>
        <v>0</v>
      </c>
      <c r="N346" s="199">
        <f t="shared" si="148"/>
        <v>100</v>
      </c>
      <c r="O346" s="199"/>
      <c r="P346" s="199">
        <f t="shared" si="150"/>
        <v>100.00074857770238</v>
      </c>
      <c r="Q346" s="199">
        <f t="shared" si="151"/>
        <v>80.152000000000001</v>
      </c>
      <c r="R346" s="199"/>
      <c r="S346" s="199">
        <f>J346/$J$355*100</f>
        <v>5.9363232067227364E-2</v>
      </c>
    </row>
    <row r="347" spans="1:19" ht="36.75" customHeight="1" x14ac:dyDescent="0.2">
      <c r="A347" s="201" t="s">
        <v>435</v>
      </c>
      <c r="B347" s="127">
        <v>11</v>
      </c>
      <c r="C347" s="195">
        <v>1</v>
      </c>
      <c r="D347" s="196" t="s">
        <v>530</v>
      </c>
      <c r="E347" s="197">
        <v>600</v>
      </c>
      <c r="F347" s="197"/>
      <c r="G347" s="198">
        <f t="shared" si="170"/>
        <v>0</v>
      </c>
      <c r="H347" s="198">
        <f t="shared" si="170"/>
        <v>80.152000000000001</v>
      </c>
      <c r="I347" s="198">
        <f t="shared" si="170"/>
        <v>80.152600000000007</v>
      </c>
      <c r="J347" s="198">
        <f t="shared" si="170"/>
        <v>80.152600000000007</v>
      </c>
      <c r="K347" s="199">
        <f t="shared" si="145"/>
        <v>6.0000000000570708E-4</v>
      </c>
      <c r="L347" s="199">
        <f t="shared" si="146"/>
        <v>100.00074857770238</v>
      </c>
      <c r="M347" s="199">
        <f t="shared" si="147"/>
        <v>0</v>
      </c>
      <c r="N347" s="199">
        <f t="shared" si="148"/>
        <v>100</v>
      </c>
      <c r="O347" s="199"/>
      <c r="P347" s="199">
        <f t="shared" si="150"/>
        <v>100.00074857770238</v>
      </c>
      <c r="Q347" s="199">
        <f t="shared" si="151"/>
        <v>80.152000000000001</v>
      </c>
      <c r="R347" s="199"/>
      <c r="S347" s="199">
        <f>J347/$J$355*100</f>
        <v>5.9363232067227364E-2</v>
      </c>
    </row>
    <row r="348" spans="1:19" ht="20.25" customHeight="1" x14ac:dyDescent="0.2">
      <c r="A348" s="201" t="s">
        <v>504</v>
      </c>
      <c r="B348" s="127">
        <v>11</v>
      </c>
      <c r="C348" s="195">
        <v>1</v>
      </c>
      <c r="D348" s="196" t="s">
        <v>530</v>
      </c>
      <c r="E348" s="197">
        <v>610</v>
      </c>
      <c r="F348" s="197"/>
      <c r="G348" s="198"/>
      <c r="H348" s="198">
        <f>'[4]приложение №3 (5) 2022г.'!G256</f>
        <v>80.152000000000001</v>
      </c>
      <c r="I348" s="198">
        <f>I349</f>
        <v>80.152600000000007</v>
      </c>
      <c r="J348" s="198">
        <f>J349</f>
        <v>80.152600000000007</v>
      </c>
      <c r="K348" s="199">
        <f t="shared" si="145"/>
        <v>6.0000000000570708E-4</v>
      </c>
      <c r="L348" s="199">
        <f t="shared" si="146"/>
        <v>100.00074857770238</v>
      </c>
      <c r="M348" s="199">
        <f t="shared" si="147"/>
        <v>0</v>
      </c>
      <c r="N348" s="199">
        <f t="shared" si="148"/>
        <v>100</v>
      </c>
      <c r="O348" s="199"/>
      <c r="P348" s="199">
        <f t="shared" si="150"/>
        <v>100.00074857770238</v>
      </c>
      <c r="Q348" s="199">
        <f t="shared" si="151"/>
        <v>80.152000000000001</v>
      </c>
      <c r="R348" s="199"/>
      <c r="S348" s="199">
        <f>J348/$J$355*100</f>
        <v>5.9363232067227364E-2</v>
      </c>
    </row>
    <row r="349" spans="1:19" ht="15.75" customHeight="1" x14ac:dyDescent="0.2">
      <c r="A349" s="201"/>
      <c r="B349" s="127">
        <v>11</v>
      </c>
      <c r="C349" s="195">
        <v>1</v>
      </c>
      <c r="D349" s="196" t="s">
        <v>530</v>
      </c>
      <c r="E349" s="197">
        <v>612</v>
      </c>
      <c r="F349" s="197">
        <v>241</v>
      </c>
      <c r="G349" s="198"/>
      <c r="H349" s="198"/>
      <c r="I349" s="198">
        <v>80.152600000000007</v>
      </c>
      <c r="J349" s="198">
        <v>80.152600000000007</v>
      </c>
      <c r="K349" s="199"/>
      <c r="L349" s="199"/>
      <c r="M349" s="199"/>
      <c r="N349" s="199"/>
      <c r="O349" s="199"/>
      <c r="P349" s="199"/>
      <c r="Q349" s="199"/>
      <c r="R349" s="199"/>
      <c r="S349" s="199"/>
    </row>
    <row r="350" spans="1:19" s="242" customFormat="1" ht="25.5" customHeight="1" x14ac:dyDescent="0.3">
      <c r="A350" s="126" t="s">
        <v>531</v>
      </c>
      <c r="B350" s="127">
        <v>11</v>
      </c>
      <c r="C350" s="195" t="s">
        <v>303</v>
      </c>
      <c r="D350" s="197" t="s">
        <v>532</v>
      </c>
      <c r="E350" s="197"/>
      <c r="F350" s="197"/>
      <c r="G350" s="198">
        <f t="shared" ref="G350:J352" si="171">G351</f>
        <v>0</v>
      </c>
      <c r="H350" s="198">
        <f>H351</f>
        <v>120</v>
      </c>
      <c r="I350" s="198">
        <f t="shared" si="171"/>
        <v>120</v>
      </c>
      <c r="J350" s="198">
        <f t="shared" si="171"/>
        <v>120</v>
      </c>
      <c r="K350" s="199">
        <f t="shared" si="145"/>
        <v>0</v>
      </c>
      <c r="L350" s="199">
        <f t="shared" si="146"/>
        <v>100</v>
      </c>
      <c r="M350" s="199">
        <f t="shared" si="147"/>
        <v>0</v>
      </c>
      <c r="N350" s="199">
        <f t="shared" si="148"/>
        <v>100</v>
      </c>
      <c r="O350" s="199"/>
      <c r="P350" s="199">
        <f t="shared" si="150"/>
        <v>100</v>
      </c>
      <c r="Q350" s="199">
        <f t="shared" si="151"/>
        <v>120</v>
      </c>
      <c r="R350" s="199"/>
      <c r="S350" s="199">
        <f>J350/$J$355*100</f>
        <v>8.8875318430934047E-2</v>
      </c>
    </row>
    <row r="351" spans="1:19" s="242" customFormat="1" ht="37.5" customHeight="1" x14ac:dyDescent="0.3">
      <c r="A351" s="126" t="s">
        <v>533</v>
      </c>
      <c r="B351" s="127">
        <v>11</v>
      </c>
      <c r="C351" s="195" t="s">
        <v>303</v>
      </c>
      <c r="D351" s="197" t="s">
        <v>534</v>
      </c>
      <c r="E351" s="197"/>
      <c r="F351" s="197"/>
      <c r="G351" s="198">
        <f t="shared" si="171"/>
        <v>0</v>
      </c>
      <c r="H351" s="198">
        <f t="shared" si="171"/>
        <v>120</v>
      </c>
      <c r="I351" s="198">
        <f t="shared" si="171"/>
        <v>120</v>
      </c>
      <c r="J351" s="198">
        <f t="shared" si="171"/>
        <v>120</v>
      </c>
      <c r="K351" s="199">
        <f t="shared" si="145"/>
        <v>0</v>
      </c>
      <c r="L351" s="199">
        <f t="shared" si="146"/>
        <v>100</v>
      </c>
      <c r="M351" s="199">
        <f t="shared" si="147"/>
        <v>0</v>
      </c>
      <c r="N351" s="199">
        <f t="shared" si="148"/>
        <v>100</v>
      </c>
      <c r="O351" s="199"/>
      <c r="P351" s="199">
        <f t="shared" si="150"/>
        <v>100</v>
      </c>
      <c r="Q351" s="199">
        <f t="shared" si="151"/>
        <v>120</v>
      </c>
      <c r="R351" s="199"/>
      <c r="S351" s="199">
        <f>J351/$J$355*100</f>
        <v>8.8875318430934047E-2</v>
      </c>
    </row>
    <row r="352" spans="1:19" ht="40.5" customHeight="1" x14ac:dyDescent="0.2">
      <c r="A352" s="201" t="s">
        <v>435</v>
      </c>
      <c r="B352" s="127">
        <v>11</v>
      </c>
      <c r="C352" s="195">
        <v>1</v>
      </c>
      <c r="D352" s="196" t="s">
        <v>534</v>
      </c>
      <c r="E352" s="197">
        <v>600</v>
      </c>
      <c r="F352" s="197"/>
      <c r="G352" s="198">
        <f t="shared" si="171"/>
        <v>0</v>
      </c>
      <c r="H352" s="198">
        <f t="shared" si="171"/>
        <v>120</v>
      </c>
      <c r="I352" s="198">
        <f t="shared" si="171"/>
        <v>120</v>
      </c>
      <c r="J352" s="198">
        <f t="shared" si="171"/>
        <v>120</v>
      </c>
      <c r="K352" s="199">
        <f t="shared" si="145"/>
        <v>0</v>
      </c>
      <c r="L352" s="199">
        <f t="shared" si="146"/>
        <v>100</v>
      </c>
      <c r="M352" s="199">
        <f t="shared" si="147"/>
        <v>0</v>
      </c>
      <c r="N352" s="199">
        <f t="shared" si="148"/>
        <v>100</v>
      </c>
      <c r="O352" s="199"/>
      <c r="P352" s="199">
        <f t="shared" si="150"/>
        <v>100</v>
      </c>
      <c r="Q352" s="199">
        <f t="shared" si="151"/>
        <v>120</v>
      </c>
      <c r="R352" s="199"/>
      <c r="S352" s="199">
        <f>J352/$J$355*100</f>
        <v>8.8875318430934047E-2</v>
      </c>
    </row>
    <row r="353" spans="1:19" ht="21" customHeight="1" x14ac:dyDescent="0.2">
      <c r="A353" s="201" t="s">
        <v>504</v>
      </c>
      <c r="B353" s="127">
        <v>11</v>
      </c>
      <c r="C353" s="195">
        <v>1</v>
      </c>
      <c r="D353" s="196" t="s">
        <v>534</v>
      </c>
      <c r="E353" s="197">
        <v>610</v>
      </c>
      <c r="F353" s="197"/>
      <c r="G353" s="198"/>
      <c r="H353" s="198">
        <f>'[4]приложение №3 (5) 2022г.'!G260</f>
        <v>120</v>
      </c>
      <c r="I353" s="198">
        <f>I354</f>
        <v>120</v>
      </c>
      <c r="J353" s="198">
        <f>J354</f>
        <v>120</v>
      </c>
      <c r="K353" s="199">
        <f t="shared" si="145"/>
        <v>0</v>
      </c>
      <c r="L353" s="199">
        <f t="shared" si="146"/>
        <v>100</v>
      </c>
      <c r="M353" s="199">
        <f t="shared" si="147"/>
        <v>0</v>
      </c>
      <c r="N353" s="199">
        <f t="shared" si="148"/>
        <v>100</v>
      </c>
      <c r="O353" s="199"/>
      <c r="P353" s="199">
        <f t="shared" si="150"/>
        <v>100</v>
      </c>
      <c r="Q353" s="199">
        <f t="shared" si="151"/>
        <v>120</v>
      </c>
      <c r="R353" s="199"/>
      <c r="S353" s="199">
        <f>J353/$J$355*100</f>
        <v>8.8875318430934047E-2</v>
      </c>
    </row>
    <row r="354" spans="1:19" ht="17.25" customHeight="1" x14ac:dyDescent="0.2">
      <c r="A354" s="201"/>
      <c r="B354" s="127">
        <v>11</v>
      </c>
      <c r="C354" s="195">
        <v>1</v>
      </c>
      <c r="D354" s="196" t="s">
        <v>534</v>
      </c>
      <c r="E354" s="197">
        <v>612</v>
      </c>
      <c r="F354" s="197">
        <v>241</v>
      </c>
      <c r="G354" s="198"/>
      <c r="H354" s="198"/>
      <c r="I354" s="198">
        <v>120</v>
      </c>
      <c r="J354" s="198">
        <v>120</v>
      </c>
      <c r="K354" s="199"/>
      <c r="L354" s="199"/>
      <c r="M354" s="199"/>
      <c r="N354" s="199"/>
      <c r="O354" s="199"/>
      <c r="P354" s="199"/>
      <c r="Q354" s="199"/>
      <c r="R354" s="199"/>
      <c r="S354" s="199"/>
    </row>
    <row r="355" spans="1:19" s="230" customFormat="1" ht="23.25" customHeight="1" x14ac:dyDescent="0.3">
      <c r="A355" s="243" t="s">
        <v>359</v>
      </c>
      <c r="B355" s="244"/>
      <c r="C355" s="244"/>
      <c r="D355" s="244"/>
      <c r="E355" s="244"/>
      <c r="F355" s="244"/>
      <c r="G355" s="187">
        <f>G6+G85+G103+G147+G207+G281+G289+G333+G325</f>
        <v>90893.1</v>
      </c>
      <c r="H355" s="187">
        <f>H6+H85+H103+H147+H207+H281+H289+H333+H325</f>
        <v>137731.198</v>
      </c>
      <c r="I355" s="187">
        <f>I6+I85+I103+I147+I207+I281+I289+I333+I325</f>
        <v>137731.12208999999</v>
      </c>
      <c r="J355" s="187">
        <f>J6+J85+J103+J147+J207+J281+J289+J333+J325</f>
        <v>135020.61327999999</v>
      </c>
      <c r="K355" s="187">
        <f t="shared" si="145"/>
        <v>-7.591000001411885E-2</v>
      </c>
      <c r="L355" s="187">
        <f t="shared" si="146"/>
        <v>99.999944885399159</v>
      </c>
      <c r="M355" s="187">
        <f t="shared" si="147"/>
        <v>-2710.5088099999994</v>
      </c>
      <c r="N355" s="187">
        <f t="shared" si="148"/>
        <v>98.032028804478315</v>
      </c>
      <c r="O355" s="187">
        <f t="shared" si="149"/>
        <v>148.54880434268384</v>
      </c>
      <c r="P355" s="187">
        <f t="shared" si="150"/>
        <v>98.031974774516954</v>
      </c>
      <c r="Q355" s="187">
        <f t="shared" si="151"/>
        <v>46838.097999999998</v>
      </c>
      <c r="R355" s="187">
        <f t="shared" si="152"/>
        <v>151.53097209799202</v>
      </c>
      <c r="S355" s="187">
        <f>J355/$J$355*100</f>
        <v>100</v>
      </c>
    </row>
    <row r="356" spans="1:19" ht="0.75" customHeight="1" x14ac:dyDescent="0.2"/>
    <row r="357" spans="1:19" ht="17.25" customHeight="1" x14ac:dyDescent="0.2"/>
    <row r="358" spans="1:19" ht="39" customHeight="1" x14ac:dyDescent="0.2"/>
    <row r="359" spans="1:19" ht="33" customHeight="1" x14ac:dyDescent="0.2"/>
    <row r="360" spans="1:19" ht="1.2" customHeight="1" x14ac:dyDescent="0.2"/>
    <row r="361" spans="1:19" ht="27" customHeight="1" x14ac:dyDescent="0.2"/>
    <row r="362" spans="1:19" ht="31.5" customHeight="1" x14ac:dyDescent="0.2"/>
    <row r="363" spans="1:19" ht="11.25" customHeight="1" x14ac:dyDescent="0.2"/>
    <row r="364" spans="1:19" s="204" customFormat="1" ht="20.25" customHeight="1" x14ac:dyDescent="0.2">
      <c r="B364" s="245"/>
      <c r="C364" s="245"/>
      <c r="D364" s="245"/>
      <c r="E364" s="245"/>
      <c r="F364" s="245"/>
      <c r="G364" s="245"/>
      <c r="H364" s="246"/>
    </row>
    <row r="365" spans="1:19" s="204" customFormat="1" ht="54.75" customHeight="1" x14ac:dyDescent="0.2">
      <c r="B365" s="245"/>
      <c r="C365" s="245"/>
      <c r="D365" s="245"/>
      <c r="E365" s="245"/>
      <c r="F365" s="245"/>
      <c r="G365" s="245"/>
      <c r="H365" s="246"/>
    </row>
    <row r="366" spans="1:19" s="204" customFormat="1" ht="37.5" customHeight="1" x14ac:dyDescent="0.2">
      <c r="B366" s="245"/>
      <c r="C366" s="245"/>
      <c r="D366" s="245"/>
      <c r="E366" s="245"/>
      <c r="F366" s="245"/>
      <c r="G366" s="245"/>
      <c r="H366" s="246"/>
    </row>
    <row r="367" spans="1:19" s="204" customFormat="1" ht="14.25" customHeight="1" x14ac:dyDescent="0.2">
      <c r="B367" s="245"/>
      <c r="C367" s="245"/>
      <c r="D367" s="245"/>
      <c r="E367" s="245"/>
      <c r="F367" s="245"/>
      <c r="G367" s="245"/>
      <c r="H367" s="246"/>
    </row>
    <row r="368" spans="1:19" s="204" customFormat="1" ht="20.25" customHeight="1" x14ac:dyDescent="0.2">
      <c r="B368" s="245"/>
      <c r="C368" s="245"/>
      <c r="D368" s="245"/>
      <c r="E368" s="245"/>
      <c r="F368" s="245"/>
      <c r="G368" s="245"/>
      <c r="H368" s="246"/>
    </row>
    <row r="369" spans="2:19" s="204" customFormat="1" ht="25.5" customHeight="1" x14ac:dyDescent="0.2">
      <c r="B369" s="245"/>
      <c r="C369" s="245"/>
      <c r="D369" s="245"/>
      <c r="E369" s="245"/>
      <c r="F369" s="245"/>
      <c r="G369" s="245"/>
      <c r="H369" s="246"/>
    </row>
    <row r="370" spans="2:19" s="204" customFormat="1" ht="20.25" customHeight="1" x14ac:dyDescent="0.2">
      <c r="B370" s="245"/>
      <c r="C370" s="245"/>
      <c r="D370" s="245"/>
      <c r="E370" s="245"/>
      <c r="F370" s="245"/>
      <c r="G370" s="245"/>
      <c r="H370" s="246"/>
    </row>
    <row r="371" spans="2:19" s="204" customFormat="1" ht="19.5" customHeight="1" x14ac:dyDescent="0.2">
      <c r="B371" s="245"/>
      <c r="C371" s="245"/>
      <c r="D371" s="245"/>
      <c r="E371" s="245"/>
      <c r="F371" s="245"/>
      <c r="G371" s="245"/>
      <c r="H371" s="246"/>
    </row>
    <row r="372" spans="2:19" s="204" customFormat="1" ht="16.5" customHeight="1" x14ac:dyDescent="0.2">
      <c r="B372" s="245"/>
      <c r="C372" s="245"/>
      <c r="D372" s="245"/>
      <c r="E372" s="245"/>
      <c r="F372" s="245"/>
      <c r="G372" s="245"/>
      <c r="H372" s="246"/>
    </row>
    <row r="373" spans="2:19" s="204" customFormat="1" x14ac:dyDescent="0.2">
      <c r="B373" s="245"/>
      <c r="C373" s="245"/>
      <c r="D373" s="245"/>
      <c r="E373" s="245"/>
      <c r="F373" s="245"/>
      <c r="G373" s="245"/>
      <c r="H373" s="246"/>
    </row>
    <row r="374" spans="2:19" s="204" customFormat="1" x14ac:dyDescent="0.2">
      <c r="B374" s="245"/>
      <c r="C374" s="245"/>
      <c r="D374" s="245"/>
      <c r="E374" s="245"/>
      <c r="F374" s="245"/>
      <c r="G374" s="245"/>
      <c r="H374" s="246"/>
    </row>
    <row r="375" spans="2:19" s="204" customFormat="1" x14ac:dyDescent="0.2">
      <c r="B375" s="245"/>
      <c r="C375" s="245"/>
      <c r="D375" s="245"/>
      <c r="E375" s="245"/>
      <c r="F375" s="245"/>
      <c r="G375" s="245"/>
      <c r="H375" s="246"/>
    </row>
    <row r="376" spans="2:19" s="204" customFormat="1" x14ac:dyDescent="0.2">
      <c r="B376" s="245"/>
      <c r="C376" s="245"/>
      <c r="D376" s="245"/>
      <c r="E376" s="245"/>
      <c r="F376" s="245"/>
      <c r="G376" s="245"/>
      <c r="H376" s="246"/>
    </row>
    <row r="377" spans="2:19" s="204" customFormat="1" ht="36" customHeight="1" x14ac:dyDescent="0.2">
      <c r="B377" s="245"/>
      <c r="C377" s="245"/>
      <c r="D377" s="245"/>
      <c r="E377" s="245"/>
      <c r="F377" s="245"/>
      <c r="G377" s="245"/>
      <c r="H377" s="246"/>
    </row>
    <row r="378" spans="2:19" ht="21.75" customHeight="1" x14ac:dyDescent="0.2"/>
    <row r="379" spans="2:19" ht="18" customHeight="1" x14ac:dyDescent="0.2"/>
    <row r="380" spans="2:19" ht="0.6" customHeight="1" x14ac:dyDescent="0.2"/>
    <row r="381" spans="2:19" ht="30" customHeight="1" x14ac:dyDescent="0.2"/>
    <row r="382" spans="2:19" ht="31.95" customHeight="1" x14ac:dyDescent="0.2"/>
    <row r="383" spans="2:19" s="204" customFormat="1" ht="31.2" customHeight="1" x14ac:dyDescent="0.2">
      <c r="B383" s="245"/>
      <c r="C383" s="245"/>
      <c r="D383" s="245"/>
      <c r="E383" s="245"/>
      <c r="F383" s="245"/>
      <c r="G383" s="245"/>
      <c r="H383" s="246"/>
      <c r="I383" s="172"/>
      <c r="J383" s="172"/>
      <c r="K383" s="172"/>
      <c r="L383" s="172"/>
      <c r="M383" s="172"/>
      <c r="N383" s="172"/>
      <c r="O383" s="172"/>
      <c r="P383" s="172"/>
      <c r="Q383" s="172"/>
      <c r="R383" s="172"/>
      <c r="S383" s="172"/>
    </row>
    <row r="384" spans="2:19" s="204" customFormat="1" ht="22.95" customHeight="1" x14ac:dyDescent="0.2">
      <c r="B384" s="245"/>
      <c r="C384" s="245"/>
      <c r="D384" s="245"/>
      <c r="E384" s="245"/>
      <c r="F384" s="245"/>
      <c r="G384" s="245"/>
      <c r="H384" s="246"/>
      <c r="I384" s="172"/>
      <c r="J384" s="172"/>
      <c r="K384" s="172"/>
      <c r="L384" s="172"/>
      <c r="M384" s="172"/>
      <c r="N384" s="172"/>
      <c r="O384" s="172"/>
      <c r="P384" s="172"/>
      <c r="Q384" s="172"/>
      <c r="R384" s="172"/>
      <c r="S384" s="172"/>
    </row>
    <row r="385" spans="2:19" s="204" customFormat="1" ht="21.6" customHeight="1" x14ac:dyDescent="0.2">
      <c r="B385" s="245"/>
      <c r="C385" s="245"/>
      <c r="D385" s="245"/>
      <c r="E385" s="245"/>
      <c r="F385" s="245"/>
      <c r="G385" s="245"/>
      <c r="H385" s="246"/>
      <c r="I385" s="172"/>
      <c r="J385" s="172"/>
      <c r="K385" s="172"/>
      <c r="L385" s="172"/>
      <c r="M385" s="172"/>
      <c r="N385" s="172"/>
      <c r="O385" s="172"/>
      <c r="P385" s="172"/>
      <c r="Q385" s="172"/>
      <c r="R385" s="172"/>
      <c r="S385" s="172"/>
    </row>
    <row r="386" spans="2:19" s="204" customFormat="1" ht="21.75" customHeight="1" x14ac:dyDescent="0.2">
      <c r="B386" s="245"/>
      <c r="C386" s="245"/>
      <c r="D386" s="245"/>
      <c r="E386" s="245"/>
      <c r="F386" s="245"/>
      <c r="G386" s="245"/>
      <c r="H386" s="246"/>
      <c r="I386" s="172"/>
      <c r="J386" s="172"/>
      <c r="K386" s="172"/>
      <c r="L386" s="172"/>
      <c r="M386" s="172"/>
      <c r="N386" s="172"/>
      <c r="O386" s="172"/>
      <c r="P386" s="172"/>
      <c r="Q386" s="172"/>
      <c r="R386" s="172"/>
      <c r="S386" s="172"/>
    </row>
    <row r="387" spans="2:19" s="204" customFormat="1" ht="18" customHeight="1" x14ac:dyDescent="0.2">
      <c r="B387" s="245"/>
      <c r="C387" s="245"/>
      <c r="D387" s="245"/>
      <c r="E387" s="245"/>
      <c r="F387" s="245"/>
      <c r="G387" s="245"/>
      <c r="H387" s="246"/>
      <c r="I387" s="172"/>
      <c r="J387" s="172"/>
      <c r="K387" s="172"/>
      <c r="L387" s="172"/>
      <c r="M387" s="172"/>
      <c r="N387" s="172"/>
      <c r="O387" s="172"/>
      <c r="P387" s="172"/>
      <c r="Q387" s="172"/>
      <c r="R387" s="172"/>
      <c r="S387" s="172"/>
    </row>
    <row r="389" spans="2:19" s="204" customFormat="1" ht="37.5" customHeight="1" x14ac:dyDescent="0.2">
      <c r="B389" s="245"/>
      <c r="C389" s="245"/>
      <c r="D389" s="245"/>
      <c r="E389" s="245"/>
      <c r="F389" s="245"/>
      <c r="G389" s="245"/>
      <c r="H389" s="246"/>
      <c r="I389" s="172"/>
      <c r="J389" s="172"/>
      <c r="K389" s="172"/>
      <c r="L389" s="172"/>
      <c r="M389" s="172"/>
      <c r="N389" s="172"/>
      <c r="O389" s="172"/>
      <c r="P389" s="172"/>
      <c r="Q389" s="172"/>
      <c r="R389" s="172"/>
      <c r="S389" s="172"/>
    </row>
    <row r="390" spans="2:19" s="204" customFormat="1" ht="21" customHeight="1" x14ac:dyDescent="0.2">
      <c r="B390" s="245"/>
      <c r="C390" s="245"/>
      <c r="D390" s="245"/>
      <c r="E390" s="245"/>
      <c r="F390" s="245"/>
      <c r="G390" s="245"/>
      <c r="H390" s="246"/>
      <c r="I390" s="172"/>
      <c r="J390" s="172"/>
      <c r="K390" s="172"/>
      <c r="L390" s="172"/>
      <c r="M390" s="172"/>
      <c r="N390" s="172"/>
      <c r="O390" s="172"/>
      <c r="P390" s="172"/>
      <c r="Q390" s="172"/>
      <c r="R390" s="172"/>
      <c r="S390" s="172"/>
    </row>
    <row r="391" spans="2:19" s="204" customFormat="1" ht="37.5" customHeight="1" x14ac:dyDescent="0.2">
      <c r="B391" s="245"/>
      <c r="C391" s="245"/>
      <c r="D391" s="245"/>
      <c r="E391" s="245"/>
      <c r="F391" s="245"/>
      <c r="G391" s="245"/>
      <c r="H391" s="246"/>
      <c r="I391" s="172"/>
      <c r="J391" s="172"/>
      <c r="K391" s="172"/>
      <c r="L391" s="172"/>
      <c r="M391" s="172"/>
      <c r="N391" s="172"/>
      <c r="O391" s="172"/>
      <c r="P391" s="172"/>
      <c r="Q391" s="172"/>
      <c r="R391" s="172"/>
      <c r="S391" s="172"/>
    </row>
    <row r="393" spans="2:19" s="204" customFormat="1" ht="30.75" customHeight="1" x14ac:dyDescent="0.2">
      <c r="B393" s="245"/>
      <c r="C393" s="245"/>
      <c r="D393" s="245"/>
      <c r="E393" s="245"/>
      <c r="F393" s="245"/>
      <c r="G393" s="245"/>
      <c r="H393" s="246"/>
      <c r="I393" s="172"/>
      <c r="J393" s="172"/>
      <c r="K393" s="172"/>
      <c r="L393" s="172"/>
      <c r="M393" s="172"/>
      <c r="N393" s="172"/>
      <c r="O393" s="172"/>
      <c r="P393" s="172"/>
      <c r="Q393" s="172"/>
      <c r="R393" s="172"/>
      <c r="S393" s="172"/>
    </row>
    <row r="394" spans="2:19" s="204" customFormat="1" ht="38.25" hidden="1" customHeight="1" x14ac:dyDescent="0.2">
      <c r="B394" s="245"/>
      <c r="C394" s="245"/>
      <c r="D394" s="245"/>
      <c r="E394" s="245"/>
      <c r="F394" s="245"/>
      <c r="G394" s="245"/>
      <c r="H394" s="246"/>
      <c r="I394" s="172"/>
      <c r="J394" s="172"/>
      <c r="K394" s="172"/>
      <c r="L394" s="172"/>
      <c r="M394" s="172"/>
      <c r="N394" s="172"/>
      <c r="O394" s="172"/>
      <c r="P394" s="172"/>
      <c r="Q394" s="172"/>
      <c r="R394" s="172"/>
      <c r="S394" s="172"/>
    </row>
    <row r="395" spans="2:19" s="204" customFormat="1" ht="31.5" hidden="1" customHeight="1" x14ac:dyDescent="0.2">
      <c r="B395" s="245"/>
      <c r="C395" s="245"/>
      <c r="D395" s="245"/>
      <c r="E395" s="245"/>
      <c r="F395" s="245"/>
      <c r="G395" s="245"/>
      <c r="H395" s="246"/>
      <c r="I395" s="172"/>
      <c r="J395" s="172"/>
      <c r="K395" s="172"/>
      <c r="L395" s="172"/>
      <c r="M395" s="172"/>
      <c r="N395" s="172"/>
      <c r="O395" s="172"/>
      <c r="P395" s="172"/>
      <c r="Q395" s="172"/>
      <c r="R395" s="172"/>
      <c r="S395" s="172"/>
    </row>
    <row r="396" spans="2:19" s="204" customFormat="1" ht="31.5" hidden="1" customHeight="1" x14ac:dyDescent="0.2">
      <c r="B396" s="245"/>
      <c r="C396" s="245"/>
      <c r="D396" s="245"/>
      <c r="E396" s="245"/>
      <c r="F396" s="245"/>
      <c r="G396" s="245"/>
      <c r="H396" s="246"/>
      <c r="I396" s="172"/>
      <c r="J396" s="172"/>
      <c r="K396" s="172"/>
      <c r="L396" s="172"/>
      <c r="M396" s="172"/>
      <c r="N396" s="172"/>
      <c r="O396" s="172"/>
      <c r="P396" s="172"/>
      <c r="Q396" s="172"/>
      <c r="R396" s="172"/>
      <c r="S396" s="172"/>
    </row>
    <row r="400" spans="2:19" ht="63" hidden="1" customHeight="1" x14ac:dyDescent="0.2"/>
    <row r="401" spans="1:8" ht="18" hidden="1" customHeight="1" x14ac:dyDescent="0.2"/>
    <row r="402" spans="1:8" ht="18" hidden="1" customHeight="1" x14ac:dyDescent="0.2"/>
    <row r="403" spans="1:8" ht="22.5" hidden="1" customHeight="1" x14ac:dyDescent="0.2"/>
    <row r="404" spans="1:8" ht="33.75" customHeight="1" x14ac:dyDescent="0.2"/>
    <row r="405" spans="1:8" ht="37.5" customHeight="1" x14ac:dyDescent="0.2"/>
    <row r="406" spans="1:8" ht="54" customHeight="1" x14ac:dyDescent="0.2"/>
    <row r="407" spans="1:8" ht="0.75" hidden="1" customHeight="1" x14ac:dyDescent="0.2"/>
    <row r="408" spans="1:8" ht="37.5" hidden="1" customHeight="1" x14ac:dyDescent="0.2"/>
    <row r="409" spans="1:8" s="215" customFormat="1" ht="28.5" customHeight="1" x14ac:dyDescent="0.2">
      <c r="A409" s="204"/>
      <c r="B409" s="245"/>
      <c r="C409" s="245"/>
      <c r="D409" s="245"/>
      <c r="E409" s="245"/>
      <c r="F409" s="245"/>
      <c r="G409" s="245"/>
      <c r="H409" s="246"/>
    </row>
    <row r="410" spans="1:8" s="204" customFormat="1" x14ac:dyDescent="0.2">
      <c r="B410" s="245"/>
      <c r="C410" s="245"/>
      <c r="D410" s="245"/>
      <c r="E410" s="245"/>
      <c r="F410" s="245"/>
      <c r="G410" s="245"/>
      <c r="H410" s="246"/>
    </row>
    <row r="411" spans="1:8" s="204" customFormat="1" x14ac:dyDescent="0.2">
      <c r="B411" s="245"/>
      <c r="C411" s="245"/>
      <c r="D411" s="245"/>
      <c r="E411" s="245"/>
      <c r="F411" s="245"/>
      <c r="G411" s="245"/>
      <c r="H411" s="246"/>
    </row>
    <row r="412" spans="1:8" ht="33.75" customHeight="1" x14ac:dyDescent="0.2"/>
    <row r="413" spans="1:8" ht="37.5" customHeight="1" x14ac:dyDescent="0.2"/>
    <row r="414" spans="1:8" ht="54" customHeight="1" x14ac:dyDescent="0.2"/>
    <row r="415" spans="1:8" ht="27" customHeight="1" x14ac:dyDescent="0.2"/>
    <row r="416" spans="1:8" ht="20.25" customHeight="1" x14ac:dyDescent="0.2"/>
    <row r="417" spans="1:8" ht="22.5" customHeight="1" x14ac:dyDescent="0.2"/>
    <row r="418" spans="1:8" s="215" customFormat="1" ht="28.5" customHeight="1" x14ac:dyDescent="0.2">
      <c r="A418" s="204"/>
      <c r="B418" s="245"/>
      <c r="C418" s="245"/>
      <c r="D418" s="245"/>
      <c r="E418" s="245"/>
      <c r="F418" s="245"/>
      <c r="G418" s="245"/>
      <c r="H418" s="246"/>
    </row>
    <row r="419" spans="1:8" ht="33.75" customHeight="1" x14ac:dyDescent="0.2"/>
    <row r="420" spans="1:8" ht="37.5" customHeight="1" x14ac:dyDescent="0.2"/>
    <row r="421" spans="1:8" ht="54" customHeight="1" x14ac:dyDescent="0.2"/>
    <row r="422" spans="1:8" ht="21.75" customHeight="1" x14ac:dyDescent="0.2"/>
    <row r="423" spans="1:8" ht="18" customHeight="1" x14ac:dyDescent="0.2"/>
    <row r="425" spans="1:8" ht="30.6" customHeight="1" x14ac:dyDescent="0.2"/>
    <row r="426" spans="1:8" ht="21" customHeight="1" x14ac:dyDescent="0.2"/>
    <row r="429" spans="1:8" s="204" customFormat="1" x14ac:dyDescent="0.2">
      <c r="B429" s="245"/>
      <c r="C429" s="245"/>
      <c r="D429" s="245"/>
      <c r="E429" s="245"/>
      <c r="F429" s="245"/>
      <c r="G429" s="245"/>
      <c r="H429" s="246"/>
    </row>
    <row r="430" spans="1:8" s="204" customFormat="1" ht="14.25" customHeight="1" x14ac:dyDescent="0.2">
      <c r="B430" s="245"/>
      <c r="C430" s="245"/>
      <c r="D430" s="245"/>
      <c r="E430" s="245"/>
      <c r="F430" s="245"/>
      <c r="G430" s="245"/>
      <c r="H430" s="246"/>
    </row>
    <row r="431" spans="1:8" s="204" customFormat="1" ht="0.6" customHeight="1" x14ac:dyDescent="0.2">
      <c r="B431" s="245"/>
      <c r="C431" s="245"/>
      <c r="D431" s="245"/>
      <c r="E431" s="245"/>
      <c r="F431" s="245"/>
      <c r="G431" s="245"/>
      <c r="H431" s="246"/>
    </row>
    <row r="432" spans="1:8" s="204" customFormat="1" ht="31.5" hidden="1" customHeight="1" x14ac:dyDescent="0.2">
      <c r="B432" s="245"/>
      <c r="C432" s="245"/>
      <c r="D432" s="245"/>
      <c r="E432" s="245"/>
      <c r="F432" s="245"/>
      <c r="G432" s="245"/>
      <c r="H432" s="246"/>
    </row>
    <row r="433" spans="1:19" s="204" customFormat="1" ht="31.5" hidden="1" customHeight="1" x14ac:dyDescent="0.2">
      <c r="B433" s="245"/>
      <c r="C433" s="245"/>
      <c r="D433" s="245"/>
      <c r="E433" s="245"/>
      <c r="F433" s="245"/>
      <c r="G433" s="245"/>
      <c r="H433" s="246"/>
    </row>
    <row r="434" spans="1:19" s="204" customFormat="1" ht="15.75" hidden="1" customHeight="1" x14ac:dyDescent="0.2">
      <c r="B434" s="245"/>
      <c r="C434" s="245"/>
      <c r="D434" s="245"/>
      <c r="E434" s="245"/>
      <c r="F434" s="245"/>
      <c r="G434" s="245"/>
      <c r="H434" s="246"/>
    </row>
    <row r="435" spans="1:19" s="204" customFormat="1" ht="31.5" hidden="1" customHeight="1" x14ac:dyDescent="0.2">
      <c r="B435" s="245"/>
      <c r="C435" s="245"/>
      <c r="D435" s="245"/>
      <c r="E435" s="245"/>
      <c r="F435" s="245"/>
      <c r="G435" s="245"/>
      <c r="H435" s="246"/>
    </row>
    <row r="436" spans="1:19" s="204" customFormat="1" ht="16.5" hidden="1" customHeight="1" x14ac:dyDescent="0.2">
      <c r="B436" s="245"/>
      <c r="C436" s="245"/>
      <c r="D436" s="245"/>
      <c r="E436" s="245"/>
      <c r="F436" s="245"/>
      <c r="G436" s="245"/>
      <c r="H436" s="246"/>
    </row>
    <row r="437" spans="1:19" s="204" customFormat="1" ht="24" hidden="1" customHeight="1" x14ac:dyDescent="0.2">
      <c r="B437" s="245"/>
      <c r="C437" s="245"/>
      <c r="D437" s="245"/>
      <c r="E437" s="245"/>
      <c r="F437" s="245"/>
      <c r="G437" s="245"/>
      <c r="H437" s="246"/>
    </row>
    <row r="438" spans="1:19" s="204" customFormat="1" ht="26.25" hidden="1" customHeight="1" x14ac:dyDescent="0.2">
      <c r="B438" s="245"/>
      <c r="C438" s="245"/>
      <c r="D438" s="245"/>
      <c r="E438" s="245"/>
      <c r="F438" s="245"/>
      <c r="G438" s="245"/>
      <c r="H438" s="246"/>
    </row>
    <row r="439" spans="1:19" s="204" customFormat="1" ht="33" hidden="1" customHeight="1" x14ac:dyDescent="0.2">
      <c r="B439" s="245"/>
      <c r="C439" s="245"/>
      <c r="D439" s="245"/>
      <c r="E439" s="245"/>
      <c r="F439" s="245"/>
      <c r="G439" s="245"/>
      <c r="H439" s="246"/>
    </row>
    <row r="440" spans="1:19" s="242" customFormat="1" ht="20.25" customHeight="1" x14ac:dyDescent="0.2">
      <c r="A440" s="204"/>
      <c r="B440" s="245"/>
      <c r="C440" s="245"/>
      <c r="D440" s="245"/>
      <c r="E440" s="245"/>
      <c r="F440" s="245"/>
      <c r="G440" s="245"/>
      <c r="H440" s="246"/>
    </row>
    <row r="441" spans="1:19" s="242" customFormat="1" ht="17.25" customHeight="1" x14ac:dyDescent="0.2">
      <c r="A441" s="204"/>
      <c r="B441" s="245"/>
      <c r="C441" s="245"/>
      <c r="D441" s="245"/>
      <c r="E441" s="245"/>
      <c r="F441" s="245"/>
      <c r="G441" s="245"/>
      <c r="H441" s="246"/>
    </row>
    <row r="442" spans="1:19" s="242" customFormat="1" ht="29.25" customHeight="1" x14ac:dyDescent="0.2">
      <c r="A442" s="204"/>
      <c r="B442" s="245"/>
      <c r="C442" s="245"/>
      <c r="D442" s="245"/>
      <c r="E442" s="245"/>
      <c r="F442" s="245"/>
      <c r="G442" s="245"/>
      <c r="H442" s="246"/>
    </row>
    <row r="443" spans="1:19" ht="0.75" hidden="1" customHeight="1" x14ac:dyDescent="0.2"/>
    <row r="444" spans="1:19" ht="24.75" hidden="1" customHeight="1" x14ac:dyDescent="0.2"/>
    <row r="445" spans="1:19" ht="33.75" customHeight="1" x14ac:dyDescent="0.2"/>
    <row r="446" spans="1:19" ht="37.5" customHeight="1" x14ac:dyDescent="0.2"/>
    <row r="447" spans="1:19" s="204" customFormat="1" ht="54" customHeight="1" x14ac:dyDescent="0.2">
      <c r="B447" s="245"/>
      <c r="C447" s="245"/>
      <c r="D447" s="245"/>
      <c r="E447" s="245"/>
      <c r="F447" s="245"/>
      <c r="G447" s="245"/>
      <c r="H447" s="246"/>
      <c r="I447" s="172"/>
      <c r="J447" s="172"/>
      <c r="K447" s="172"/>
      <c r="L447" s="172"/>
      <c r="M447" s="172"/>
      <c r="N447" s="172"/>
      <c r="O447" s="172"/>
      <c r="P447" s="172"/>
      <c r="Q447" s="172"/>
      <c r="R447" s="172"/>
      <c r="S447" s="172"/>
    </row>
    <row r="448" spans="1:19" s="204" customFormat="1" ht="32.25" customHeight="1" x14ac:dyDescent="0.2">
      <c r="B448" s="245"/>
      <c r="C448" s="245"/>
      <c r="D448" s="245"/>
      <c r="E448" s="245"/>
      <c r="F448" s="245"/>
      <c r="G448" s="245"/>
      <c r="H448" s="246"/>
      <c r="I448" s="172"/>
      <c r="J448" s="172"/>
      <c r="K448" s="172"/>
      <c r="L448" s="172"/>
      <c r="M448" s="172"/>
      <c r="N448" s="172"/>
      <c r="O448" s="172"/>
      <c r="P448" s="172"/>
      <c r="Q448" s="172"/>
      <c r="R448" s="172"/>
      <c r="S448" s="172"/>
    </row>
    <row r="449" spans="2:19" s="204" customFormat="1" ht="31.5" hidden="1" customHeight="1" x14ac:dyDescent="0.2">
      <c r="B449" s="245"/>
      <c r="C449" s="245"/>
      <c r="D449" s="245"/>
      <c r="E449" s="245"/>
      <c r="F449" s="245"/>
      <c r="G449" s="245"/>
      <c r="H449" s="246"/>
      <c r="I449" s="172"/>
      <c r="J449" s="172"/>
      <c r="K449" s="172"/>
      <c r="L449" s="172"/>
      <c r="M449" s="172"/>
      <c r="N449" s="172"/>
      <c r="O449" s="172"/>
      <c r="P449" s="172"/>
      <c r="Q449" s="172"/>
      <c r="R449" s="172"/>
      <c r="S449" s="172"/>
    </row>
    <row r="450" spans="2:19" s="204" customFormat="1" ht="13.5" hidden="1" customHeight="1" x14ac:dyDescent="0.2">
      <c r="B450" s="245"/>
      <c r="C450" s="245"/>
      <c r="D450" s="245"/>
      <c r="E450" s="245"/>
      <c r="F450" s="245"/>
      <c r="G450" s="245"/>
      <c r="H450" s="246"/>
      <c r="I450" s="172"/>
      <c r="J450" s="172"/>
      <c r="K450" s="172"/>
      <c r="L450" s="172"/>
      <c r="M450" s="172"/>
      <c r="N450" s="172"/>
      <c r="O450" s="172"/>
      <c r="P450" s="172"/>
      <c r="Q450" s="172"/>
      <c r="R450" s="172"/>
      <c r="S450" s="172"/>
    </row>
    <row r="451" spans="2:19" s="204" customFormat="1" ht="22.5" customHeight="1" x14ac:dyDescent="0.2">
      <c r="B451" s="245"/>
      <c r="C451" s="245"/>
      <c r="D451" s="245"/>
      <c r="E451" s="245"/>
      <c r="F451" s="245"/>
      <c r="G451" s="245"/>
      <c r="H451" s="246"/>
      <c r="I451" s="172"/>
      <c r="J451" s="172"/>
      <c r="K451" s="172"/>
      <c r="L451" s="172"/>
      <c r="M451" s="172"/>
      <c r="N451" s="172"/>
      <c r="O451" s="172"/>
      <c r="P451" s="172"/>
      <c r="Q451" s="172"/>
      <c r="R451" s="172"/>
      <c r="S451" s="172"/>
    </row>
    <row r="452" spans="2:19" s="204" customFormat="1" ht="33.75" customHeight="1" x14ac:dyDescent="0.2">
      <c r="B452" s="245"/>
      <c r="C452" s="245"/>
      <c r="D452" s="245"/>
      <c r="E452" s="245"/>
      <c r="F452" s="245"/>
      <c r="G452" s="245"/>
      <c r="H452" s="246"/>
      <c r="I452" s="172"/>
      <c r="J452" s="172"/>
      <c r="K452" s="172"/>
      <c r="L452" s="172"/>
      <c r="M452" s="172"/>
      <c r="N452" s="172"/>
      <c r="O452" s="172"/>
      <c r="P452" s="172"/>
      <c r="Q452" s="172"/>
      <c r="R452" s="172"/>
      <c r="S452" s="172"/>
    </row>
    <row r="453" spans="2:19" s="204" customFormat="1" ht="37.5" customHeight="1" x14ac:dyDescent="0.2">
      <c r="B453" s="245"/>
      <c r="C453" s="245"/>
      <c r="D453" s="245"/>
      <c r="E453" s="245"/>
      <c r="F453" s="245"/>
      <c r="G453" s="245"/>
      <c r="H453" s="246"/>
      <c r="I453" s="172"/>
      <c r="J453" s="172"/>
      <c r="K453" s="172"/>
      <c r="L453" s="172"/>
      <c r="M453" s="172"/>
      <c r="N453" s="172"/>
      <c r="O453" s="172"/>
      <c r="P453" s="172"/>
      <c r="Q453" s="172"/>
      <c r="R453" s="172"/>
      <c r="S453" s="172"/>
    </row>
    <row r="454" spans="2:19" s="204" customFormat="1" ht="54" customHeight="1" x14ac:dyDescent="0.2">
      <c r="B454" s="245"/>
      <c r="C454" s="245"/>
      <c r="D454" s="245"/>
      <c r="E454" s="245"/>
      <c r="F454" s="245"/>
      <c r="G454" s="245"/>
      <c r="H454" s="246"/>
      <c r="I454" s="172"/>
      <c r="J454" s="172"/>
      <c r="K454" s="172"/>
      <c r="L454" s="172"/>
      <c r="M454" s="172"/>
      <c r="N454" s="172"/>
      <c r="O454" s="172"/>
      <c r="P454" s="172"/>
      <c r="Q454" s="172"/>
      <c r="R454" s="172"/>
      <c r="S454" s="172"/>
    </row>
    <row r="455" spans="2:19" s="204" customFormat="1" ht="23.25" customHeight="1" x14ac:dyDescent="0.2">
      <c r="B455" s="245"/>
      <c r="C455" s="245"/>
      <c r="D455" s="245"/>
      <c r="E455" s="245"/>
      <c r="F455" s="245"/>
      <c r="G455" s="245"/>
      <c r="H455" s="246"/>
      <c r="I455" s="172"/>
      <c r="J455" s="172"/>
      <c r="K455" s="172"/>
      <c r="L455" s="172"/>
      <c r="M455" s="172"/>
      <c r="N455" s="172"/>
      <c r="O455" s="172"/>
      <c r="P455" s="172"/>
      <c r="Q455" s="172"/>
      <c r="R455" s="172"/>
      <c r="S455" s="172"/>
    </row>
  </sheetData>
  <autoFilter ref="A5:S355"/>
  <mergeCells count="2">
    <mergeCell ref="A1:S1"/>
    <mergeCell ref="A2:S2"/>
  </mergeCells>
  <printOptions horizontalCentered="1"/>
  <pageMargins left="0.39370078740157483" right="0" top="0.39370078740157483" bottom="0.39370078740157483" header="0.19685039370078741" footer="0.19685039370078741"/>
  <pageSetup paperSize="9" firstPageNumber="0" fitToHeight="3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</vt:lpstr>
      <vt:lpstr>2</vt:lpstr>
      <vt:lpstr>3</vt:lpstr>
      <vt:lpstr>Лист1</vt:lpstr>
      <vt:lpstr>Лист2</vt:lpstr>
      <vt:lpstr>Лист3</vt:lpstr>
      <vt:lpstr>'1'!Заголовки_для_печати</vt:lpstr>
      <vt:lpstr>'2'!Заголовки_для_печати</vt:lpstr>
      <vt:lpstr>'3'!Заголовки_для_печати</vt:lpstr>
      <vt:lpstr>'1'!Область_печати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2023-04-07T05:19:38Z</dcterms:modified>
</cp:coreProperties>
</file>